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7010" windowHeight="5580" firstSheet="3" activeTab="7"/>
  </bookViews>
  <sheets>
    <sheet name="Groupe XV" sheetId="1" r:id="rId1"/>
    <sheet name="XV Data" sheetId="2" r:id="rId2"/>
    <sheet name="Groupe 11" sheetId="3" r:id="rId3"/>
    <sheet name="11 Data" sheetId="4" r:id="rId4"/>
    <sheet name="Groupe 5" sheetId="5" r:id="rId5"/>
    <sheet name="5 Data" sheetId="6" r:id="rId6"/>
    <sheet name="Groupe Hand" sheetId="7" r:id="rId7"/>
    <sheet name="FM HM" sheetId="8" r:id="rId8"/>
    <sheet name="Hand Data" sheetId="9" r:id="rId9"/>
    <sheet name="Staff_Matos" sheetId="10" r:id="rId10"/>
    <sheet name="Match XV" sheetId="11" r:id="rId11"/>
  </sheets>
  <definedNames>
    <definedName name="_xlnm._FilterDatabase" localSheetId="2" hidden="1">'Groupe 11'!$A$1:$AK$63</definedName>
    <definedName name="_xlnm._FilterDatabase" localSheetId="4" hidden="1">'Groupe 5'!$A$1:$AI$26</definedName>
    <definedName name="_xlnm._FilterDatabase" localSheetId="6" hidden="1">'Groupe Hand'!$A$1:$AK$36</definedName>
    <definedName name="_xlnm._FilterDatabase" localSheetId="0" hidden="1">'Groupe XV'!$A$1:$AK$53</definedName>
  </definedNames>
  <calcPr fullCalcOnLoad="1"/>
</workbook>
</file>

<file path=xl/comments3.xml><?xml version="1.0" encoding="utf-8"?>
<comments xmlns="http://schemas.openxmlformats.org/spreadsheetml/2006/main">
  <authors>
    <author>J?r?me Gouaux</author>
    <author>J?r?me GOUAUX</author>
  </authors>
  <commentList>
    <comment ref="J1" authorId="0">
      <text>
        <r>
          <rPr>
            <b/>
            <sz val="9"/>
            <rFont val="Tahoma"/>
            <family val="2"/>
          </rPr>
          <t>1 vs 1</t>
        </r>
      </text>
    </comment>
    <comment ref="K1" authorId="0">
      <text>
        <r>
          <rPr>
            <b/>
            <sz val="9"/>
            <rFont val="Tahoma"/>
            <family val="2"/>
          </rPr>
          <t>Centre</t>
        </r>
      </text>
    </comment>
    <comment ref="L1" authorId="0">
      <text>
        <r>
          <rPr>
            <b/>
            <sz val="9"/>
            <rFont val="Tahoma"/>
            <family val="2"/>
          </rPr>
          <t>Contrôle</t>
        </r>
      </text>
    </comment>
    <comment ref="M1" authorId="0">
      <text>
        <r>
          <rPr>
            <b/>
            <sz val="9"/>
            <rFont val="Tahoma"/>
            <family val="2"/>
          </rPr>
          <t>Corner</t>
        </r>
      </text>
    </comment>
    <comment ref="N1" authorId="0">
      <text>
        <r>
          <rPr>
            <b/>
            <sz val="9"/>
            <rFont val="Tahoma"/>
            <family val="2"/>
          </rPr>
          <t>Course</t>
        </r>
      </text>
    </comment>
    <comment ref="O1" authorId="0">
      <text>
        <r>
          <rPr>
            <b/>
            <sz val="9"/>
            <rFont val="Tahoma"/>
            <family val="2"/>
          </rPr>
          <t>Coup Franc</t>
        </r>
      </text>
    </comment>
    <comment ref="P1" authorId="0">
      <text>
        <r>
          <rPr>
            <b/>
            <sz val="9"/>
            <rFont val="Tahoma"/>
            <family val="2"/>
          </rPr>
          <t>Détente</t>
        </r>
      </text>
    </comment>
    <comment ref="Q1" authorId="0">
      <text>
        <r>
          <rPr>
            <b/>
            <sz val="9"/>
            <rFont val="Tahoma"/>
            <family val="2"/>
          </rPr>
          <t>Discipline</t>
        </r>
      </text>
    </comment>
    <comment ref="R1" authorId="0">
      <text>
        <r>
          <rPr>
            <b/>
            <sz val="9"/>
            <rFont val="Tahoma"/>
            <family val="2"/>
          </rPr>
          <t>Dribble</t>
        </r>
      </text>
    </comment>
    <comment ref="S1" authorId="0">
      <text>
        <r>
          <rPr>
            <b/>
            <sz val="9"/>
            <rFont val="Tahoma"/>
            <family val="2"/>
          </rPr>
          <t>Frappe</t>
        </r>
      </text>
    </comment>
    <comment ref="T1" authorId="0">
      <text>
        <r>
          <rPr>
            <b/>
            <sz val="9"/>
            <rFont val="Tahoma"/>
            <family val="2"/>
          </rPr>
          <t>Passe</t>
        </r>
      </text>
    </comment>
    <comment ref="U1" authorId="0">
      <text>
        <r>
          <rPr>
            <b/>
            <sz val="9"/>
            <rFont val="Tahoma"/>
            <family val="2"/>
          </rPr>
          <t>Physique</t>
        </r>
      </text>
    </comment>
    <comment ref="V1" authorId="0">
      <text>
        <r>
          <rPr>
            <b/>
            <sz val="9"/>
            <rFont val="Tahoma"/>
            <family val="2"/>
          </rPr>
          <t>Réflexe</t>
        </r>
      </text>
    </comment>
    <comment ref="W1" authorId="0">
      <text>
        <r>
          <rPr>
            <b/>
            <sz val="9"/>
            <rFont val="Tahoma"/>
            <family val="2"/>
          </rPr>
          <t>Tacle</t>
        </r>
      </text>
    </comment>
    <comment ref="X1" authorId="0">
      <text>
        <r>
          <rPr>
            <b/>
            <sz val="9"/>
            <rFont val="Tahoma"/>
            <family val="2"/>
          </rPr>
          <t>Technique</t>
        </r>
      </text>
    </comment>
    <comment ref="Y1" authorId="0">
      <text>
        <r>
          <rPr>
            <b/>
            <sz val="9"/>
            <rFont val="Tahoma"/>
            <family val="2"/>
          </rPr>
          <t>Tête</t>
        </r>
      </text>
    </comment>
    <comment ref="Z1" authorId="0">
      <text>
        <r>
          <rPr>
            <b/>
            <sz val="9"/>
            <rFont val="Tahoma"/>
            <family val="2"/>
          </rPr>
          <t>Touche</t>
        </r>
      </text>
    </comment>
    <comment ref="A1" authorId="1">
      <text>
        <r>
          <rPr>
            <b/>
            <sz val="8"/>
            <rFont val="Tahoma"/>
            <family val="2"/>
          </rPr>
          <t>Jérôme GOUAUX:</t>
        </r>
        <r>
          <rPr>
            <sz val="8"/>
            <rFont val="Tahoma"/>
            <family val="2"/>
          </rPr>
          <t xml:space="preserve">
ESPOIRS : 
2 G  
3 DL 
4 DC 
2 MDF 
3 MC 
3 MO 
3 AC 
____ 
20  
SENIORS : 
2 G  
3 DL 
3 DC 
2 MDF 
3 MC 
3 MO 
2 AC 
_____ 
18  
</t>
        </r>
      </text>
    </comment>
  </commentList>
</comments>
</file>

<file path=xl/comments4.xml><?xml version="1.0" encoding="utf-8"?>
<comments xmlns="http://schemas.openxmlformats.org/spreadsheetml/2006/main">
  <authors>
    <author>J?r?me Gouaux</author>
  </authors>
  <commentList>
    <comment ref="H2" authorId="0">
      <text>
        <r>
          <rPr>
            <b/>
            <sz val="9"/>
            <rFont val="Tahoma"/>
            <family val="2"/>
          </rPr>
          <t>1 vs 1</t>
        </r>
      </text>
    </comment>
    <comment ref="I2" authorId="0">
      <text>
        <r>
          <rPr>
            <b/>
            <sz val="9"/>
            <rFont val="Tahoma"/>
            <family val="2"/>
          </rPr>
          <t>Centre</t>
        </r>
      </text>
    </comment>
    <comment ref="J2" authorId="0">
      <text>
        <r>
          <rPr>
            <b/>
            <sz val="9"/>
            <rFont val="Tahoma"/>
            <family val="2"/>
          </rPr>
          <t>Contrôle</t>
        </r>
      </text>
    </comment>
    <comment ref="K2" authorId="0">
      <text>
        <r>
          <rPr>
            <b/>
            <sz val="9"/>
            <rFont val="Tahoma"/>
            <family val="2"/>
          </rPr>
          <t>Corner</t>
        </r>
      </text>
    </comment>
    <comment ref="L2" authorId="0">
      <text>
        <r>
          <rPr>
            <b/>
            <sz val="9"/>
            <rFont val="Tahoma"/>
            <family val="2"/>
          </rPr>
          <t>Course</t>
        </r>
      </text>
    </comment>
    <comment ref="M2" authorId="0">
      <text>
        <r>
          <rPr>
            <b/>
            <sz val="9"/>
            <rFont val="Tahoma"/>
            <family val="2"/>
          </rPr>
          <t>Coup Franc</t>
        </r>
      </text>
    </comment>
    <comment ref="N2" authorId="0">
      <text>
        <r>
          <rPr>
            <b/>
            <sz val="9"/>
            <rFont val="Tahoma"/>
            <family val="2"/>
          </rPr>
          <t>Détente</t>
        </r>
      </text>
    </comment>
    <comment ref="O2" authorId="0">
      <text>
        <r>
          <rPr>
            <b/>
            <sz val="9"/>
            <rFont val="Tahoma"/>
            <family val="2"/>
          </rPr>
          <t>Discipline</t>
        </r>
      </text>
    </comment>
    <comment ref="P2" authorId="0">
      <text>
        <r>
          <rPr>
            <b/>
            <sz val="9"/>
            <rFont val="Tahoma"/>
            <family val="2"/>
          </rPr>
          <t>Dribble</t>
        </r>
      </text>
    </comment>
    <comment ref="Q2" authorId="0">
      <text>
        <r>
          <rPr>
            <b/>
            <sz val="9"/>
            <rFont val="Tahoma"/>
            <family val="2"/>
          </rPr>
          <t>Frappe</t>
        </r>
      </text>
    </comment>
    <comment ref="R2" authorId="0">
      <text>
        <r>
          <rPr>
            <b/>
            <sz val="9"/>
            <rFont val="Tahoma"/>
            <family val="2"/>
          </rPr>
          <t>Passe</t>
        </r>
      </text>
    </comment>
    <comment ref="S2" authorId="0">
      <text>
        <r>
          <rPr>
            <b/>
            <sz val="9"/>
            <rFont val="Tahoma"/>
            <family val="2"/>
          </rPr>
          <t>Physique</t>
        </r>
      </text>
    </comment>
    <comment ref="T2" authorId="0">
      <text>
        <r>
          <rPr>
            <b/>
            <sz val="9"/>
            <rFont val="Tahoma"/>
            <family val="2"/>
          </rPr>
          <t>Réflexe</t>
        </r>
      </text>
    </comment>
    <comment ref="U2" authorId="0">
      <text>
        <r>
          <rPr>
            <b/>
            <sz val="9"/>
            <rFont val="Tahoma"/>
            <family val="2"/>
          </rPr>
          <t>Tacle</t>
        </r>
      </text>
    </comment>
    <comment ref="V2" authorId="0">
      <text>
        <r>
          <rPr>
            <b/>
            <sz val="9"/>
            <rFont val="Tahoma"/>
            <family val="2"/>
          </rPr>
          <t>Technique</t>
        </r>
      </text>
    </comment>
    <comment ref="W2" authorId="0">
      <text>
        <r>
          <rPr>
            <b/>
            <sz val="9"/>
            <rFont val="Tahoma"/>
            <family val="2"/>
          </rPr>
          <t>Tête</t>
        </r>
      </text>
    </comment>
    <comment ref="X2" authorId="0">
      <text>
        <r>
          <rPr>
            <b/>
            <sz val="9"/>
            <rFont val="Tahoma"/>
            <family val="2"/>
          </rPr>
          <t>Touche</t>
        </r>
      </text>
    </comment>
  </commentList>
</comments>
</file>

<file path=xl/comments7.xml><?xml version="1.0" encoding="utf-8"?>
<comments xmlns="http://schemas.openxmlformats.org/spreadsheetml/2006/main">
  <authors>
    <author>J?r?me Gouaux</author>
  </authors>
  <commentList>
    <comment ref="P1" authorId="0">
      <text>
        <r>
          <rPr>
            <b/>
            <sz val="9"/>
            <rFont val="Tahoma"/>
            <family val="2"/>
          </rPr>
          <t>Vision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rFont val="Tahoma"/>
            <family val="2"/>
          </rPr>
          <t>Défense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Physique</t>
        </r>
        <r>
          <rPr>
            <sz val="9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9"/>
            <rFont val="Tahoma"/>
            <family val="2"/>
          </rPr>
          <t>Vitesse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Interception</t>
        </r>
        <r>
          <rPr>
            <sz val="9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rFont val="Tahoma"/>
            <family val="2"/>
          </rPr>
          <t>Tir en Suspension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Tir en Appui</t>
        </r>
        <r>
          <rPr>
            <sz val="9"/>
            <rFont val="Tahoma"/>
            <family val="2"/>
          </rPr>
          <t xml:space="preserve">
</t>
        </r>
      </text>
    </comment>
    <comment ref="U1" authorId="0">
      <text>
        <r>
          <rPr>
            <b/>
            <sz val="9"/>
            <rFont val="Tahoma"/>
            <family val="2"/>
          </rPr>
          <t>Dribbles</t>
        </r>
        <r>
          <rPr>
            <sz val="9"/>
            <rFont val="Tahoma"/>
            <family val="2"/>
          </rPr>
          <t xml:space="preserve">
</t>
        </r>
      </text>
    </comment>
    <comment ref="W1" authorId="0">
      <text>
        <r>
          <rPr>
            <b/>
            <sz val="9"/>
            <rFont val="Tahoma"/>
            <family val="2"/>
          </rPr>
          <t>Technique</t>
        </r>
        <r>
          <rPr>
            <sz val="9"/>
            <rFont val="Tahoma"/>
            <family val="2"/>
          </rPr>
          <t xml:space="preserve">
</t>
        </r>
      </text>
    </comment>
    <comment ref="X1" authorId="0">
      <text>
        <r>
          <rPr>
            <b/>
            <sz val="9"/>
            <rFont val="Tahoma"/>
            <family val="2"/>
          </rPr>
          <t>Discipline</t>
        </r>
        <r>
          <rPr>
            <sz val="9"/>
            <rFont val="Tahoma"/>
            <family val="2"/>
          </rPr>
          <t xml:space="preserve">
</t>
        </r>
      </text>
    </comment>
    <comment ref="Y1" authorId="0">
      <text>
        <r>
          <rPr>
            <b/>
            <sz val="9"/>
            <rFont val="Tahoma"/>
            <family val="2"/>
          </rPr>
          <t>1 Contre 1</t>
        </r>
        <r>
          <rPr>
            <sz val="9"/>
            <rFont val="Tahoma"/>
            <family val="2"/>
          </rPr>
          <t xml:space="preserve">
</t>
        </r>
      </text>
    </comment>
    <comment ref="AA1" authorId="0">
      <text>
        <r>
          <rPr>
            <b/>
            <sz val="9"/>
            <rFont val="Tahoma"/>
            <family val="2"/>
          </rPr>
          <t>Reflexes</t>
        </r>
      </text>
    </comment>
    <comment ref="AB1" authorId="0">
      <text>
        <r>
          <rPr>
            <b/>
            <sz val="9"/>
            <rFont val="Tahoma"/>
            <family val="2"/>
          </rPr>
          <t>Ballons Haut</t>
        </r>
        <r>
          <rPr>
            <sz val="9"/>
            <rFont val="Tahoma"/>
            <family val="2"/>
          </rPr>
          <t xml:space="preserve">
</t>
        </r>
      </text>
    </comment>
    <comment ref="AC1" authorId="0">
      <text>
        <r>
          <rPr>
            <b/>
            <sz val="9"/>
            <rFont val="Tahoma"/>
            <family val="2"/>
          </rPr>
          <t>Ballons Bas</t>
        </r>
        <r>
          <rPr>
            <sz val="9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9"/>
            <rFont val="Tahoma"/>
            <family val="2"/>
          </rPr>
          <t>Jet 7 metres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J?r?me Gouaux</author>
  </authors>
  <commentList>
    <comment ref="D1" authorId="0">
      <text>
        <r>
          <rPr>
            <b/>
            <sz val="9"/>
            <rFont val="Tahoma"/>
            <family val="2"/>
          </rPr>
          <t>Physique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Vitesse</t>
        </r>
        <r>
          <rPr>
            <sz val="9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rFont val="Tahoma"/>
            <family val="2"/>
          </rPr>
          <t>Vision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Défense</t>
        </r>
        <r>
          <rPr>
            <sz val="9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rFont val="Tahoma"/>
            <family val="2"/>
          </rPr>
          <t>Interception</t>
        </r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rFont val="Tahoma"/>
            <family val="2"/>
          </rPr>
          <t>Tir en Suspension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rFont val="Tahoma"/>
            <family val="2"/>
          </rPr>
          <t>Tir en Appui</t>
        </r>
        <r>
          <rPr>
            <sz val="9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9"/>
            <rFont val="Tahoma"/>
            <family val="2"/>
          </rPr>
          <t>Dribbles</t>
        </r>
        <r>
          <rPr>
            <sz val="9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rFont val="Tahoma"/>
            <family val="2"/>
          </rPr>
          <t>Technique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Discipline</t>
        </r>
        <r>
          <rPr>
            <sz val="9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9"/>
            <rFont val="Tahoma"/>
            <family val="2"/>
          </rPr>
          <t>1 Contre 1</t>
        </r>
        <r>
          <rPr>
            <sz val="9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9"/>
            <rFont val="Tahoma"/>
            <family val="2"/>
          </rPr>
          <t>Jet 7 metres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rFont val="Tahoma"/>
            <family val="2"/>
          </rPr>
          <t>Reflexes</t>
        </r>
      </text>
    </comment>
    <comment ref="R1" authorId="0">
      <text>
        <r>
          <rPr>
            <b/>
            <sz val="9"/>
            <rFont val="Tahoma"/>
            <family val="2"/>
          </rPr>
          <t>Ballons Haut</t>
        </r>
        <r>
          <rPr>
            <sz val="9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rFont val="Tahoma"/>
            <family val="2"/>
          </rPr>
          <t>Ballons Bas</t>
        </r>
        <r>
          <rPr>
            <sz val="9"/>
            <rFont val="Tahoma"/>
            <family val="2"/>
          </rPr>
          <t xml:space="preserve">
</t>
        </r>
      </text>
    </comment>
    <comment ref="Z1" authorId="0">
      <text>
        <r>
          <rPr>
            <b/>
            <sz val="9"/>
            <rFont val="Tahoma"/>
            <family val="2"/>
          </rPr>
          <t>Physique</t>
        </r>
        <r>
          <rPr>
            <sz val="9"/>
            <rFont val="Tahoma"/>
            <family val="2"/>
          </rPr>
          <t xml:space="preserve">
</t>
        </r>
      </text>
    </comment>
    <comment ref="AA1" authorId="0">
      <text>
        <r>
          <rPr>
            <b/>
            <sz val="9"/>
            <rFont val="Tahoma"/>
            <family val="2"/>
          </rPr>
          <t>Vitesse</t>
        </r>
        <r>
          <rPr>
            <sz val="9"/>
            <rFont val="Tahoma"/>
            <family val="2"/>
          </rPr>
          <t xml:space="preserve">
</t>
        </r>
      </text>
    </comment>
    <comment ref="AB1" authorId="0">
      <text>
        <r>
          <rPr>
            <b/>
            <sz val="9"/>
            <rFont val="Tahoma"/>
            <family val="2"/>
          </rPr>
          <t>Vision</t>
        </r>
        <r>
          <rPr>
            <sz val="9"/>
            <rFont val="Tahoma"/>
            <family val="2"/>
          </rPr>
          <t xml:space="preserve">
</t>
        </r>
      </text>
    </comment>
    <comment ref="AC1" authorId="0">
      <text>
        <r>
          <rPr>
            <b/>
            <sz val="9"/>
            <rFont val="Tahoma"/>
            <family val="2"/>
          </rPr>
          <t>Défense</t>
        </r>
        <r>
          <rPr>
            <sz val="9"/>
            <rFont val="Tahoma"/>
            <family val="2"/>
          </rPr>
          <t xml:space="preserve">
</t>
        </r>
      </text>
    </comment>
    <comment ref="AD1" authorId="0">
      <text>
        <r>
          <rPr>
            <b/>
            <sz val="9"/>
            <rFont val="Tahoma"/>
            <family val="2"/>
          </rPr>
          <t>Interception</t>
        </r>
        <r>
          <rPr>
            <sz val="9"/>
            <rFont val="Tahoma"/>
            <family val="2"/>
          </rPr>
          <t xml:space="preserve">
</t>
        </r>
      </text>
    </comment>
    <comment ref="AE1" authorId="0">
      <text>
        <r>
          <rPr>
            <b/>
            <sz val="9"/>
            <rFont val="Tahoma"/>
            <family val="2"/>
          </rPr>
          <t>Tir en Suspension</t>
        </r>
        <r>
          <rPr>
            <sz val="9"/>
            <rFont val="Tahoma"/>
            <family val="2"/>
          </rPr>
          <t xml:space="preserve">
</t>
        </r>
      </text>
    </comment>
    <comment ref="AF1" authorId="0">
      <text>
        <r>
          <rPr>
            <b/>
            <sz val="9"/>
            <rFont val="Tahoma"/>
            <family val="2"/>
          </rPr>
          <t>Tir en Appui</t>
        </r>
        <r>
          <rPr>
            <sz val="9"/>
            <rFont val="Tahoma"/>
            <family val="2"/>
          </rPr>
          <t xml:space="preserve">
</t>
        </r>
      </text>
    </comment>
    <comment ref="AG1" authorId="0">
      <text>
        <r>
          <rPr>
            <b/>
            <sz val="9"/>
            <rFont val="Tahoma"/>
            <family val="2"/>
          </rPr>
          <t>Dribbles</t>
        </r>
        <r>
          <rPr>
            <sz val="9"/>
            <rFont val="Tahoma"/>
            <family val="2"/>
          </rPr>
          <t xml:space="preserve">
</t>
        </r>
      </text>
    </comment>
    <comment ref="AI1" authorId="0">
      <text>
        <r>
          <rPr>
            <b/>
            <sz val="9"/>
            <rFont val="Tahoma"/>
            <family val="2"/>
          </rPr>
          <t>Technique</t>
        </r>
        <r>
          <rPr>
            <sz val="9"/>
            <rFont val="Tahoma"/>
            <family val="2"/>
          </rPr>
          <t xml:space="preserve">
</t>
        </r>
      </text>
    </comment>
    <comment ref="AJ1" authorId="0">
      <text>
        <r>
          <rPr>
            <b/>
            <sz val="9"/>
            <rFont val="Tahoma"/>
            <family val="2"/>
          </rPr>
          <t>Discipline</t>
        </r>
        <r>
          <rPr>
            <sz val="9"/>
            <rFont val="Tahoma"/>
            <family val="2"/>
          </rPr>
          <t xml:space="preserve">
</t>
        </r>
      </text>
    </comment>
    <comment ref="AK1" authorId="0">
      <text>
        <r>
          <rPr>
            <b/>
            <sz val="9"/>
            <rFont val="Tahoma"/>
            <family val="2"/>
          </rPr>
          <t>1 Contre 1</t>
        </r>
        <r>
          <rPr>
            <sz val="9"/>
            <rFont val="Tahoma"/>
            <family val="2"/>
          </rPr>
          <t xml:space="preserve">
</t>
        </r>
      </text>
    </comment>
    <comment ref="AL1" authorId="0">
      <text>
        <r>
          <rPr>
            <b/>
            <sz val="9"/>
            <rFont val="Tahoma"/>
            <family val="2"/>
          </rPr>
          <t>Jet 7 metres</t>
        </r>
        <r>
          <rPr>
            <sz val="9"/>
            <rFont val="Tahoma"/>
            <family val="2"/>
          </rPr>
          <t xml:space="preserve">
</t>
        </r>
      </text>
    </comment>
    <comment ref="AM1" authorId="0">
      <text>
        <r>
          <rPr>
            <b/>
            <sz val="9"/>
            <rFont val="Tahoma"/>
            <family val="2"/>
          </rPr>
          <t>Reflexes</t>
        </r>
      </text>
    </comment>
    <comment ref="AN1" authorId="0">
      <text>
        <r>
          <rPr>
            <b/>
            <sz val="9"/>
            <rFont val="Tahoma"/>
            <family val="2"/>
          </rPr>
          <t>Ballons Haut</t>
        </r>
        <r>
          <rPr>
            <sz val="9"/>
            <rFont val="Tahoma"/>
            <family val="2"/>
          </rPr>
          <t xml:space="preserve">
</t>
        </r>
      </text>
    </comment>
    <comment ref="AO1" authorId="0">
      <text>
        <r>
          <rPr>
            <b/>
            <sz val="9"/>
            <rFont val="Tahoma"/>
            <family val="2"/>
          </rPr>
          <t>Ballons Bas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<sst xmlns="http://schemas.openxmlformats.org/spreadsheetml/2006/main" count="1734" uniqueCount="404">
  <si>
    <t>Age</t>
  </si>
  <si>
    <t>FM</t>
  </si>
  <si>
    <t>Salaire</t>
  </si>
  <si>
    <t>Poste</t>
  </si>
  <si>
    <t>Bruno Ab</t>
  </si>
  <si>
    <t>Fonteb</t>
  </si>
  <si>
    <t>Damous</t>
  </si>
  <si>
    <t>Mollier</t>
  </si>
  <si>
    <t>Nyco</t>
  </si>
  <si>
    <t>Le Fouet</t>
  </si>
  <si>
    <t>Guilhem</t>
  </si>
  <si>
    <t>Galbi</t>
  </si>
  <si>
    <t>1L</t>
  </si>
  <si>
    <t>2L</t>
  </si>
  <si>
    <t>3L</t>
  </si>
  <si>
    <t>Joss Paul</t>
  </si>
  <si>
    <t>Jerome Gx</t>
  </si>
  <si>
    <t>Andoni Gx</t>
  </si>
  <si>
    <t>Bucheron</t>
  </si>
  <si>
    <t>Gilles Hourcade</t>
  </si>
  <si>
    <t>Benoit Barde</t>
  </si>
  <si>
    <t>Surnom</t>
  </si>
  <si>
    <t>Force</t>
  </si>
  <si>
    <t>Coh</t>
  </si>
  <si>
    <t>Forme</t>
  </si>
  <si>
    <t>But</t>
  </si>
  <si>
    <t>Cou</t>
  </si>
  <si>
    <t>Cps</t>
  </si>
  <si>
    <t>Cro</t>
  </si>
  <si>
    <t>Déf</t>
  </si>
  <si>
    <t>Dis</t>
  </si>
  <si>
    <t>Dro</t>
  </si>
  <si>
    <t>Mau</t>
  </si>
  <si>
    <t>Mêl</t>
  </si>
  <si>
    <t>Pas</t>
  </si>
  <si>
    <t>Phy</t>
  </si>
  <si>
    <t>Pla</t>
  </si>
  <si>
    <t>Raf</t>
  </si>
  <si>
    <t>Tou</t>
  </si>
  <si>
    <t>Ben Brick</t>
  </si>
  <si>
    <t>Loupsens</t>
  </si>
  <si>
    <t>Toulousain</t>
  </si>
  <si>
    <t>Parrain</t>
  </si>
  <si>
    <t>David Causs</t>
  </si>
  <si>
    <t>Nikal Montel</t>
  </si>
  <si>
    <t>Alain Riwan</t>
  </si>
  <si>
    <t>Guillaume Bory</t>
  </si>
  <si>
    <t>Steph Gouaux</t>
  </si>
  <si>
    <t>POSTE POT</t>
  </si>
  <si>
    <t>2L3L</t>
  </si>
  <si>
    <t>DM</t>
  </si>
  <si>
    <t>DOCNTARR</t>
  </si>
  <si>
    <t>AILARR</t>
  </si>
  <si>
    <t>CNTARR</t>
  </si>
  <si>
    <t>DOCNTARRAIL</t>
  </si>
  <si>
    <t>Con</t>
  </si>
  <si>
    <t>Vit</t>
  </si>
  <si>
    <t>Dét</t>
  </si>
  <si>
    <t>Sho</t>
  </si>
  <si>
    <t>Reb</t>
  </si>
  <si>
    <t>Dri</t>
  </si>
  <si>
    <t>Tec</t>
  </si>
  <si>
    <t>Lan</t>
  </si>
  <si>
    <t>3Pt</t>
  </si>
  <si>
    <t>AILIERS</t>
  </si>
  <si>
    <t>MENEURS</t>
  </si>
  <si>
    <t>PIVOT</t>
  </si>
  <si>
    <t>1 C</t>
  </si>
  <si>
    <t>Cen</t>
  </si>
  <si>
    <t>Cor</t>
  </si>
  <si>
    <t>Fra</t>
  </si>
  <si>
    <t>Réf</t>
  </si>
  <si>
    <t>Tac</t>
  </si>
  <si>
    <t>Têt</t>
  </si>
  <si>
    <t>Sotha Ith</t>
  </si>
  <si>
    <t>Nicolas Montel</t>
  </si>
  <si>
    <t>Romain Duranton</t>
  </si>
  <si>
    <t>Jerome Gachet</t>
  </si>
  <si>
    <t>Cat</t>
  </si>
  <si>
    <t>P</t>
  </si>
  <si>
    <t>GARDIENS</t>
  </si>
  <si>
    <t>DEFENSEURS</t>
  </si>
  <si>
    <t>MILIEUX</t>
  </si>
  <si>
    <t>ATTAQUANTS</t>
  </si>
  <si>
    <t>ESPOIRS</t>
  </si>
  <si>
    <t>---   ---   ---   ---   ---   ---</t>
  </si>
  <si>
    <t>4A</t>
  </si>
  <si>
    <t>2D</t>
  </si>
  <si>
    <t>1G</t>
  </si>
  <si>
    <t>3M</t>
  </si>
  <si>
    <t>Form</t>
  </si>
  <si>
    <t>CoF</t>
  </si>
  <si>
    <t>1C</t>
  </si>
  <si>
    <t>ARRIERES</t>
  </si>
  <si>
    <t>PIVOTS</t>
  </si>
  <si>
    <t>AVANTS</t>
  </si>
  <si>
    <t>CHARNIERES</t>
  </si>
  <si>
    <t>P. Fraresso</t>
  </si>
  <si>
    <t>Maxime Caperet</t>
  </si>
  <si>
    <t>Talpin</t>
  </si>
  <si>
    <t>Albistur</t>
  </si>
  <si>
    <t>Mika</t>
  </si>
  <si>
    <t>Cat.</t>
  </si>
  <si>
    <t>Equi Sen</t>
  </si>
  <si>
    <t>Equi Jun</t>
  </si>
  <si>
    <t>Tps</t>
  </si>
  <si>
    <t>Remy Sans</t>
  </si>
  <si>
    <t>S3</t>
  </si>
  <si>
    <t>Laurent</t>
  </si>
  <si>
    <t>Izarra</t>
  </si>
  <si>
    <t>Grogneuse</t>
  </si>
  <si>
    <t>Patxa</t>
  </si>
  <si>
    <t>Helene</t>
  </si>
  <si>
    <t>Chippeur</t>
  </si>
  <si>
    <t>Noireau</t>
  </si>
  <si>
    <t>Heidi</t>
  </si>
  <si>
    <t>Djay</t>
  </si>
  <si>
    <t>Romeo</t>
  </si>
  <si>
    <t>Zoé</t>
  </si>
  <si>
    <t>Juliette</t>
  </si>
  <si>
    <t>Max</t>
  </si>
  <si>
    <t>Joseph August</t>
  </si>
  <si>
    <t>Daniel DoMNG</t>
  </si>
  <si>
    <t>Julien Bzt</t>
  </si>
  <si>
    <t>Arnaud</t>
  </si>
  <si>
    <t>Erik Bonnakov</t>
  </si>
  <si>
    <t>Romain Bzt</t>
  </si>
  <si>
    <t>Peio Rsslt</t>
  </si>
  <si>
    <t>Djoul Hlrd</t>
  </si>
  <si>
    <t>Maxime Rst</t>
  </si>
  <si>
    <t>Ben Thaï</t>
  </si>
  <si>
    <t>Fabien Brock</t>
  </si>
  <si>
    <t>fo</t>
  </si>
  <si>
    <t>Chech'</t>
  </si>
  <si>
    <t>Baloo</t>
  </si>
  <si>
    <t>S4</t>
  </si>
  <si>
    <t>Mikele Lamaison</t>
  </si>
  <si>
    <t>Eric Lacaze</t>
  </si>
  <si>
    <t>Eric Saintemari</t>
  </si>
  <si>
    <t>Jerome Abadie</t>
  </si>
  <si>
    <t>Laurent Lafon-P</t>
  </si>
  <si>
    <t>Brice Simeon</t>
  </si>
  <si>
    <t>GLOBAL</t>
  </si>
  <si>
    <t>Cof</t>
  </si>
  <si>
    <t>Ref</t>
  </si>
  <si>
    <t>Tet</t>
  </si>
  <si>
    <t>Gros Seb</t>
  </si>
  <si>
    <t>Alexis Duboué</t>
  </si>
  <si>
    <t>Pierrick Murat</t>
  </si>
  <si>
    <t>Anthony Emon</t>
  </si>
  <si>
    <t>Fabrice Martin</t>
  </si>
  <si>
    <t>Goualito</t>
  </si>
  <si>
    <t>Vincent</t>
  </si>
  <si>
    <t>Jerome Bousquet</t>
  </si>
  <si>
    <t>Benoit Laroque</t>
  </si>
  <si>
    <t>Romain 647</t>
  </si>
  <si>
    <t>Christophe Julè</t>
  </si>
  <si>
    <t>Nicolas Guerri</t>
  </si>
  <si>
    <t>Jon</t>
  </si>
  <si>
    <t>Diego</t>
  </si>
  <si>
    <t>Ponpon</t>
  </si>
  <si>
    <t>Blandin</t>
  </si>
  <si>
    <t>JPeg</t>
  </si>
  <si>
    <t>Boka</t>
  </si>
  <si>
    <t>Charles</t>
  </si>
  <si>
    <t>Jerome Toulouse</t>
  </si>
  <si>
    <t>Goual</t>
  </si>
  <si>
    <t>Mouette</t>
  </si>
  <si>
    <t>Hunter</t>
  </si>
  <si>
    <t>Vis</t>
  </si>
  <si>
    <t>Int</t>
  </si>
  <si>
    <t>Tir</t>
  </si>
  <si>
    <t>Jet</t>
  </si>
  <si>
    <t>Bal</t>
  </si>
  <si>
    <t>Pays</t>
  </si>
  <si>
    <t>Com</t>
  </si>
  <si>
    <t>Cyrile</t>
  </si>
  <si>
    <t>TiS</t>
  </si>
  <si>
    <t>TiA</t>
  </si>
  <si>
    <t>1C1</t>
  </si>
  <si>
    <t>BaH</t>
  </si>
  <si>
    <t>BaB</t>
  </si>
  <si>
    <t>J7M</t>
  </si>
  <si>
    <t>Tot</t>
  </si>
  <si>
    <t>Eq1</t>
  </si>
  <si>
    <t>Bitos</t>
  </si>
  <si>
    <t>Torregr</t>
  </si>
  <si>
    <t>Antoine Mnbf</t>
  </si>
  <si>
    <t>XXX</t>
  </si>
  <si>
    <t>10'</t>
  </si>
  <si>
    <t>30'</t>
  </si>
  <si>
    <t>20'</t>
  </si>
  <si>
    <t>40'</t>
  </si>
  <si>
    <t>Jigé Ykse</t>
  </si>
  <si>
    <t>EqE</t>
  </si>
  <si>
    <t>TiTUL</t>
  </si>
  <si>
    <t>Gouavsen</t>
  </si>
  <si>
    <t>Senior WE</t>
  </si>
  <si>
    <t>Junior Mer</t>
  </si>
  <si>
    <t>Junior WE</t>
  </si>
  <si>
    <t>Senior Mer</t>
  </si>
  <si>
    <t>USA</t>
  </si>
  <si>
    <t>ESP</t>
  </si>
  <si>
    <t>GRO</t>
  </si>
  <si>
    <t>ANG</t>
  </si>
  <si>
    <t>CRO</t>
  </si>
  <si>
    <t>FRA</t>
  </si>
  <si>
    <t>ITA</t>
  </si>
  <si>
    <t>ARG</t>
  </si>
  <si>
    <t>EGY</t>
  </si>
  <si>
    <t>Syrcée</t>
  </si>
  <si>
    <t>Couineur</t>
  </si>
  <si>
    <t>Letton'</t>
  </si>
  <si>
    <t>Noireau2</t>
  </si>
  <si>
    <t>Chippeur2</t>
  </si>
  <si>
    <t>PAYS</t>
  </si>
  <si>
    <t>BAH</t>
  </si>
  <si>
    <t>CAM</t>
  </si>
  <si>
    <t>SEN</t>
  </si>
  <si>
    <t>FIN</t>
  </si>
  <si>
    <t>ECO</t>
  </si>
  <si>
    <t>SAO</t>
  </si>
  <si>
    <t>HKG</t>
  </si>
  <si>
    <t>URU</t>
  </si>
  <si>
    <t>CAN</t>
  </si>
  <si>
    <t>JAM</t>
  </si>
  <si>
    <t>KEN</t>
  </si>
  <si>
    <t>AUS</t>
  </si>
  <si>
    <t>NZL</t>
  </si>
  <si>
    <t>Nadir</t>
  </si>
  <si>
    <t>SUE</t>
  </si>
  <si>
    <t>il bramosic</t>
  </si>
  <si>
    <t>Ed Garner</t>
  </si>
  <si>
    <t>Franck Gosselin</t>
  </si>
  <si>
    <t>Kalypso</t>
  </si>
  <si>
    <t>Karl</t>
  </si>
  <si>
    <t>Xavier</t>
  </si>
  <si>
    <t>Petersen</t>
  </si>
  <si>
    <t>Tit Senior</t>
  </si>
  <si>
    <t>Tit Espoir</t>
  </si>
  <si>
    <t>Rp Espoir</t>
  </si>
  <si>
    <t>Esp Mont</t>
  </si>
  <si>
    <t>Usu</t>
  </si>
  <si>
    <t>1GAR</t>
  </si>
  <si>
    <t>2ARR</t>
  </si>
  <si>
    <t>3DMC</t>
  </si>
  <si>
    <t>5PIV</t>
  </si>
  <si>
    <t>4AIL</t>
  </si>
  <si>
    <t>DEF</t>
  </si>
  <si>
    <t>Postes</t>
  </si>
  <si>
    <t>NbJ</t>
  </si>
  <si>
    <t>OFF</t>
  </si>
  <si>
    <t>6-0</t>
  </si>
  <si>
    <t>2-3-4-5-6-7</t>
  </si>
  <si>
    <t>5-1</t>
  </si>
  <si>
    <t>2-3-4-6-7</t>
  </si>
  <si>
    <t>5</t>
  </si>
  <si>
    <t>4-2</t>
  </si>
  <si>
    <t>2-3-6-7</t>
  </si>
  <si>
    <t>4-5</t>
  </si>
  <si>
    <t>3-2-1</t>
  </si>
  <si>
    <t>2-4-7</t>
  </si>
  <si>
    <t>3-6</t>
  </si>
  <si>
    <t>Jensen</t>
  </si>
  <si>
    <t>Nouveau</t>
  </si>
  <si>
    <t>Rp Senior</t>
  </si>
  <si>
    <t>Tit S/R</t>
  </si>
  <si>
    <t>Tit E/S</t>
  </si>
  <si>
    <t>Tit E/R</t>
  </si>
  <si>
    <t>Tot S</t>
  </si>
  <si>
    <t>Tot E</t>
  </si>
  <si>
    <t>Fjørdsen</t>
  </si>
  <si>
    <t>Bjørksen</t>
  </si>
  <si>
    <t>Gålbbby</t>
  </si>
  <si>
    <t>Briån Låudrup</t>
  </si>
  <si>
    <t>Gwål</t>
  </si>
  <si>
    <t>Mikå Låudrup</t>
  </si>
  <si>
    <t>Jeån-Hugues</t>
  </si>
  <si>
    <t>Djåy</t>
  </si>
  <si>
    <t>Chinese</t>
  </si>
  <si>
    <t>Tøms</t>
  </si>
  <si>
    <t>Gøuål</t>
  </si>
  <si>
    <t>Jøhnsen</t>
  </si>
  <si>
    <t>Djåy Gøuål</t>
  </si>
  <si>
    <t>Yéhøme</t>
  </si>
  <si>
    <t>Ståchøs</t>
  </si>
  <si>
    <t>McCørmick</t>
  </si>
  <si>
    <t>Møuette</t>
  </si>
  <si>
    <t>Møllier</t>
  </si>
  <si>
    <t>Gøuålitø</t>
  </si>
  <si>
    <t>Jøhn</t>
  </si>
  <si>
    <t>Heïdi</t>
  </si>
  <si>
    <t>-</t>
  </si>
  <si>
    <t>AV</t>
  </si>
  <si>
    <t>Audy J.</t>
  </si>
  <si>
    <t>DEN</t>
  </si>
  <si>
    <t>Rouzi</t>
  </si>
  <si>
    <t>Djoss</t>
  </si>
  <si>
    <t>Djo</t>
  </si>
  <si>
    <t>CENTRES</t>
  </si>
  <si>
    <t>NIG</t>
  </si>
  <si>
    <t>SAM</t>
  </si>
  <si>
    <t>MEX</t>
  </si>
  <si>
    <t>ISR</t>
  </si>
  <si>
    <t>MON</t>
  </si>
  <si>
    <t>WAL</t>
  </si>
  <si>
    <t>AND</t>
  </si>
  <si>
    <t>0/100</t>
  </si>
  <si>
    <t>Rintintin</t>
  </si>
  <si>
    <t>Rantanplan</t>
  </si>
  <si>
    <t>Croquette</t>
  </si>
  <si>
    <t>Milou</t>
  </si>
  <si>
    <t>Futur Tit</t>
  </si>
  <si>
    <t>Passes</t>
  </si>
  <si>
    <t>Physique</t>
  </si>
  <si>
    <t>Tapis</t>
  </si>
  <si>
    <t>Vitesse</t>
  </si>
  <si>
    <t>Shoot</t>
  </si>
  <si>
    <t>Dribbles</t>
  </si>
  <si>
    <t>Piquets</t>
  </si>
  <si>
    <t>Placement</t>
  </si>
  <si>
    <t>Tab. Strtg</t>
  </si>
  <si>
    <t>Détente</t>
  </si>
  <si>
    <t>Chevilles lestées 1,45 kg</t>
  </si>
  <si>
    <t>Staff</t>
  </si>
  <si>
    <t>Entraineur Défense</t>
  </si>
  <si>
    <t>Encadrement Espoir</t>
  </si>
  <si>
    <t>Entraineur tactique</t>
  </si>
  <si>
    <t>Kiné</t>
  </si>
  <si>
    <t>Manutentionaire</t>
  </si>
  <si>
    <t xml:space="preserve">Préparateur Phys. </t>
  </si>
  <si>
    <t>Théoricien</t>
  </si>
  <si>
    <t>Psychologue</t>
  </si>
  <si>
    <t>Recruteur</t>
  </si>
  <si>
    <t>Maxi</t>
  </si>
  <si>
    <t>Discipline</t>
  </si>
  <si>
    <t>Livres Expertise</t>
  </si>
  <si>
    <t>Entraineur Attaque</t>
  </si>
  <si>
    <t>Cercle Préc. 26 cm</t>
  </si>
  <si>
    <t>Appareil Muscu</t>
  </si>
  <si>
    <t>Medecine Ball 10kg</t>
  </si>
  <si>
    <t>FM&lt;</t>
  </si>
  <si>
    <t>Gain</t>
  </si>
  <si>
    <t>Compétence</t>
  </si>
  <si>
    <t>Nb.</t>
  </si>
  <si>
    <t>Matériel</t>
  </si>
  <si>
    <t>5 Manager</t>
  </si>
  <si>
    <t>Hand Manager</t>
  </si>
  <si>
    <t>XV Manager</t>
  </si>
  <si>
    <t>11 Manager</t>
  </si>
  <si>
    <t>Entraineur Avants</t>
  </si>
  <si>
    <t>Entraineur Trois-quarts</t>
  </si>
  <si>
    <t>Jardinier</t>
  </si>
  <si>
    <t>Entraineur Buteur</t>
  </si>
  <si>
    <t>Course</t>
  </si>
  <si>
    <t>Crochet</t>
  </si>
  <si>
    <t>Mélée</t>
  </si>
  <si>
    <t>Passe</t>
  </si>
  <si>
    <t>Plaquage</t>
  </si>
  <si>
    <t>Touches</t>
  </si>
  <si>
    <t>Joug Allu</t>
  </si>
  <si>
    <t>Appareil</t>
  </si>
  <si>
    <t>Ballon lesté</t>
  </si>
  <si>
    <t>Tee souple</t>
  </si>
  <si>
    <t>maxi</t>
  </si>
  <si>
    <t>spet-12</t>
  </si>
  <si>
    <t>Lot de Vestes</t>
  </si>
  <si>
    <t>Touch Trainer</t>
  </si>
  <si>
    <t>Entraineur Gardiens</t>
  </si>
  <si>
    <t>Entraineur défense</t>
  </si>
  <si>
    <t>Coup Franc</t>
  </si>
  <si>
    <t>Tête</t>
  </si>
  <si>
    <t>Touche</t>
  </si>
  <si>
    <t>Mur</t>
  </si>
  <si>
    <t>Potence</t>
  </si>
  <si>
    <t>Stachos</t>
  </si>
  <si>
    <t>Jpeg</t>
  </si>
  <si>
    <t>Nb Esp à former :</t>
  </si>
  <si>
    <t>Rameur</t>
  </si>
  <si>
    <t>Traineau</t>
  </si>
  <si>
    <t>Livres Expertises</t>
  </si>
  <si>
    <t>Bénoït</t>
  </si>
  <si>
    <t>Austen</t>
  </si>
  <si>
    <t>S</t>
  </si>
  <si>
    <t>45'</t>
  </si>
  <si>
    <t>60'</t>
  </si>
  <si>
    <t>0'</t>
  </si>
  <si>
    <t>35'</t>
  </si>
  <si>
    <t>25'</t>
  </si>
  <si>
    <t>Crc Prec. 26cm</t>
  </si>
  <si>
    <t>SENIOR</t>
  </si>
  <si>
    <t>ESPOIR</t>
  </si>
  <si>
    <t>6.63/100</t>
  </si>
  <si>
    <t>1.63/100</t>
  </si>
  <si>
    <t>10/100</t>
  </si>
  <si>
    <t>8.5/100</t>
  </si>
  <si>
    <t>5. PIV</t>
  </si>
  <si>
    <t>3. ARR</t>
  </si>
  <si>
    <t>2. AIL</t>
  </si>
  <si>
    <t>??stef</t>
  </si>
  <si>
    <t>??2v</t>
  </si>
  <si>
    <t>Retraite ?</t>
  </si>
  <si>
    <t>19/08/2011</t>
  </si>
  <si>
    <t>4. DMC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</si>
</sst>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dd\ dd/mm"/>
    <numFmt numFmtId="167" formatCode="dd/mm"/>
    <numFmt numFmtId="168" formatCode="[$-40C]dddd\ d\ mmmm\ yyyy"/>
    <numFmt numFmtId="169" formatCode="d/m;@"/>
    <numFmt numFmtId="170" formatCode="#,##0.00\ _€"/>
    <numFmt numFmtId="171" formatCode="#,##0.000\ _€"/>
    <numFmt numFmtId="172" formatCode="#,##0.0\ _€"/>
    <numFmt numFmtId="173" formatCode="#,##0\ _€"/>
    <numFmt numFmtId="174" formatCode="0.0"/>
    <numFmt numFmtId="175" formatCode="#,##0.00\ &quot;€&quot;"/>
    <numFmt numFmtId="176" formatCode="#,##0.0\ &quot;€&quot;"/>
    <numFmt numFmtId="177" formatCode="#,##0\ &quot;€&quot;"/>
    <numFmt numFmtId="178" formatCode="[$€-2]\ #,##0.00_);[Red]\([$€-2]\ #,##0.00\)"/>
    <numFmt numFmtId="179" formatCode="0.000"/>
    <numFmt numFmtId="180" formatCode="[$-40C]d\-mmm;@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11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9"/>
      <name val="Tahoma"/>
      <family val="2"/>
    </font>
    <font>
      <b/>
      <sz val="10"/>
      <color indexed="18"/>
      <name val="Arial"/>
      <family val="2"/>
    </font>
    <font>
      <b/>
      <sz val="10"/>
      <color indexed="18"/>
      <name val="Verdana"/>
      <family val="2"/>
    </font>
    <font>
      <i/>
      <sz val="8"/>
      <name val="Arial"/>
      <family val="2"/>
    </font>
    <font>
      <i/>
      <sz val="8"/>
      <color indexed="23"/>
      <name val="Arial"/>
      <family val="2"/>
    </font>
    <font>
      <sz val="9"/>
      <name val="Tahoma"/>
      <family val="2"/>
    </font>
    <font>
      <sz val="10"/>
      <color indexed="23"/>
      <name val="Arial"/>
      <family val="2"/>
    </font>
    <font>
      <b/>
      <sz val="8"/>
      <color indexed="18"/>
      <name val="Arial"/>
      <family val="2"/>
    </font>
    <font>
      <sz val="6"/>
      <color indexed="22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trike/>
      <sz val="10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22"/>
      <name val="Arial"/>
      <family val="2"/>
    </font>
    <font>
      <i/>
      <sz val="8"/>
      <color indexed="22"/>
      <name val="Arial"/>
      <family val="2"/>
    </font>
    <font>
      <sz val="8"/>
      <color indexed="62"/>
      <name val="Arial"/>
      <family val="2"/>
    </font>
    <font>
      <b/>
      <sz val="10"/>
      <color indexed="9"/>
      <name val="Calibri"/>
      <family val="2"/>
    </font>
    <font>
      <b/>
      <sz val="10"/>
      <color indexed="17"/>
      <name val="Calibri"/>
      <family val="2"/>
    </font>
    <font>
      <b/>
      <sz val="10"/>
      <color indexed="51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b/>
      <sz val="10"/>
      <color indexed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10"/>
      <color indexed="22"/>
      <name val="Arial"/>
      <family val="2"/>
    </font>
    <font>
      <i/>
      <sz val="7"/>
      <color indexed="17"/>
      <name val="Arial"/>
      <family val="2"/>
    </font>
    <font>
      <i/>
      <sz val="8"/>
      <color indexed="18"/>
      <name val="Arial"/>
      <family val="2"/>
    </font>
    <font>
      <b/>
      <sz val="10"/>
      <color indexed="62"/>
      <name val="Arial"/>
      <family val="2"/>
    </font>
    <font>
      <sz val="14"/>
      <name val="Calibri"/>
      <family val="2"/>
    </font>
    <font>
      <b/>
      <sz val="12"/>
      <color indexed="18"/>
      <name val="Arial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  <font>
      <i/>
      <sz val="8"/>
      <color theme="0" tint="-0.04997999966144562"/>
      <name val="Arial"/>
      <family val="2"/>
    </font>
    <font>
      <sz val="8"/>
      <color theme="3" tint="0.39998000860214233"/>
      <name val="Arial"/>
      <family val="2"/>
    </font>
    <font>
      <b/>
      <sz val="10"/>
      <color theme="0"/>
      <name val="Calibri"/>
      <family val="2"/>
    </font>
    <font>
      <b/>
      <sz val="10"/>
      <color rgb="FF008000"/>
      <name val="Calibri"/>
      <family val="2"/>
    </font>
    <font>
      <b/>
      <sz val="10"/>
      <color rgb="FFFFC000"/>
      <name val="Calibri"/>
      <family val="2"/>
    </font>
    <font>
      <b/>
      <sz val="10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rgb="FF0066FF"/>
      <name val="Calibri"/>
      <family val="2"/>
    </font>
    <font>
      <b/>
      <sz val="10"/>
      <color rgb="FFFFFF00"/>
      <name val="Calibri"/>
      <family val="2"/>
    </font>
    <font>
      <b/>
      <sz val="10"/>
      <color theme="3" tint="0.5999900102615356"/>
      <name val="Calibri"/>
      <family val="2"/>
    </font>
    <font>
      <sz val="10"/>
      <color theme="0" tint="-0.04997999966144562"/>
      <name val="Arial"/>
      <family val="2"/>
    </font>
    <font>
      <b/>
      <sz val="8"/>
      <color theme="3" tint="-0.24997000396251678"/>
      <name val="Arial"/>
      <family val="2"/>
    </font>
    <font>
      <i/>
      <sz val="7"/>
      <color rgb="FF00B050"/>
      <name val="Arial"/>
      <family val="2"/>
    </font>
    <font>
      <i/>
      <sz val="8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i/>
      <sz val="10"/>
      <color theme="4" tint="-0.24997000396251678"/>
      <name val="Arial"/>
      <family val="2"/>
    </font>
    <font>
      <b/>
      <sz val="8"/>
      <name val="Arial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gradientFill>
        <stop position="0">
          <color rgb="FF0066FF"/>
        </stop>
        <stop position="1">
          <color rgb="FFFF0000"/>
        </stop>
      </gradientFill>
    </fill>
    <fill>
      <patternFill patternType="solid">
        <fgColor theme="9" tint="-0.24997000396251678"/>
        <bgColor indexed="64"/>
      </patternFill>
    </fill>
    <fill>
      <patternFill patternType="lightHorizontal">
        <fgColor rgb="FF0066FF"/>
      </patternFill>
    </fill>
    <fill>
      <gradientFill>
        <stop position="0">
          <color rgb="FFFF5050"/>
        </stop>
        <stop position="0.5">
          <color theme="0"/>
        </stop>
        <stop position="1">
          <color rgb="FFFF5050"/>
        </stop>
      </gradientFill>
    </fill>
    <fill>
      <gradientFill>
        <stop position="0">
          <color rgb="FF00B050"/>
        </stop>
        <stop position="1">
          <color rgb="FFFF0000"/>
        </stop>
      </gradientFill>
    </fill>
    <fill>
      <patternFill patternType="darkGrid">
        <fgColor rgb="FFFF5050"/>
      </patternFill>
    </fill>
    <fill>
      <gradientFill degree="90">
        <stop position="0">
          <color rgb="FF008000"/>
        </stop>
        <stop position="1">
          <color rgb="FFFFC000"/>
        </stop>
      </gradientFill>
    </fill>
    <fill>
      <gradientFill degree="90">
        <stop position="0">
          <color rgb="FF008000"/>
        </stop>
        <stop position="1">
          <color rgb="FFFF0000"/>
        </stop>
      </gradientFill>
    </fill>
    <fill>
      <gradientFill degree="90">
        <stop position="0">
          <color rgb="FF00B050"/>
        </stop>
        <stop position="0.5">
          <color rgb="FFFFFF00"/>
        </stop>
        <stop position="1">
          <color rgb="FF00B050"/>
        </stop>
      </gradientFill>
    </fill>
    <fill>
      <gradientFill>
        <stop position="0">
          <color rgb="FF00B050"/>
        </stop>
        <stop position="0.5">
          <color theme="1"/>
        </stop>
        <stop position="1">
          <color rgb="FF00B050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3300"/>
        <bgColor indexed="64"/>
      </patternFill>
    </fill>
    <fill>
      <gradientFill>
        <stop position="0">
          <color rgb="FF0066FF"/>
        </stop>
        <stop position="1">
          <color rgb="FFFF0000"/>
        </stop>
      </gradientFill>
    </fill>
    <fill>
      <gradientFill>
        <stop position="0">
          <color rgb="FF00B050"/>
        </stop>
        <stop position="0.5">
          <color theme="0"/>
        </stop>
        <stop position="1">
          <color rgb="FF00B050"/>
        </stop>
      </gradientFill>
    </fill>
    <fill>
      <gradientFill degree="90">
        <stop position="0">
          <color rgb="FFFFFF00"/>
        </stop>
        <stop position="0.5">
          <color theme="4"/>
        </stop>
        <stop position="1">
          <color rgb="FFFFFF00"/>
        </stop>
      </gradientFill>
    </fill>
    <fill>
      <patternFill patternType="lightHorizontal">
        <fgColor rgb="FFFF0000"/>
      </patternFill>
    </fill>
    <fill>
      <gradientFill degree="90">
        <stop position="0">
          <color rgb="FF00B050"/>
        </stop>
        <stop position="0.5">
          <color theme="1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>
        <stop position="0">
          <color rgb="FF0066FF"/>
        </stop>
        <stop position="1">
          <color rgb="FFFF0000"/>
        </stop>
      </gradientFill>
    </fill>
    <fill>
      <gradientFill degree="90">
        <stop position="0">
          <color rgb="FFFF5050"/>
        </stop>
        <stop position="1">
          <color theme="4"/>
        </stop>
      </gradientFill>
    </fill>
    <fill>
      <patternFill patternType="solid">
        <fgColor rgb="FFFF5050"/>
        <bgColor indexed="64"/>
      </patternFill>
    </fill>
    <fill>
      <patternFill patternType="solid">
        <fgColor theme="9" tint="0.5999600291252136"/>
        <bgColor indexed="64"/>
      </patternFill>
    </fill>
    <fill>
      <gradientFill>
        <stop position="0">
          <color rgb="FF0066FF"/>
        </stop>
        <stop position="1">
          <color rgb="FFFF0000"/>
        </stop>
      </gradientFill>
    </fill>
    <fill>
      <patternFill patternType="solid">
        <fgColor rgb="FFFF66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rgb="FFFF5050"/>
        </stop>
      </gradientFill>
    </fill>
    <fill>
      <gradientFill>
        <stop position="0">
          <color rgb="FF00B050"/>
        </stop>
        <stop position="1">
          <color rgb="FFFF0000"/>
        </stop>
      </gradient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90">
        <stop position="0">
          <color rgb="FFFF0000"/>
        </stop>
        <stop position="0.5">
          <color rgb="FFFFFF00"/>
        </stop>
        <stop position="1">
          <color rgb="FFFF0000"/>
        </stop>
      </gradientFill>
    </fill>
    <fill>
      <gradientFill>
        <stop position="0">
          <color rgb="FF0066FF"/>
        </stop>
        <stop position="1">
          <color rgb="FFFF0000"/>
        </stop>
      </gradient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5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1" fillId="33" borderId="11" xfId="45" applyFill="1" applyBorder="1" applyAlignment="1" applyProtection="1">
      <alignment horizontal="center" wrapText="1"/>
      <protection/>
    </xf>
    <xf numFmtId="0" fontId="0" fillId="34" borderId="11" xfId="0" applyFill="1" applyBorder="1" applyAlignment="1">
      <alignment horizontal="center" wrapText="1"/>
    </xf>
    <xf numFmtId="0" fontId="3" fillId="33" borderId="11" xfId="0" applyFont="1" applyFill="1" applyBorder="1" applyAlignment="1">
      <alignment vertical="top" wrapText="1"/>
    </xf>
    <xf numFmtId="0" fontId="1" fillId="33" borderId="11" xfId="45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33" borderId="11" xfId="45" applyFont="1" applyFill="1" applyBorder="1" applyAlignment="1" applyProtection="1">
      <alignment horizontal="center" vertical="top" wrapText="1"/>
      <protection/>
    </xf>
    <xf numFmtId="0" fontId="3" fillId="35" borderId="11" xfId="0" applyFont="1" applyFill="1" applyBorder="1" applyAlignment="1">
      <alignment vertical="top" wrapText="1"/>
    </xf>
    <xf numFmtId="0" fontId="3" fillId="35" borderId="11" xfId="45" applyFont="1" applyFill="1" applyBorder="1" applyAlignment="1" applyProtection="1">
      <alignment horizontal="center" vertical="top" wrapText="1"/>
      <protection/>
    </xf>
    <xf numFmtId="0" fontId="3" fillId="35" borderId="11" xfId="0" applyFont="1" applyFill="1" applyBorder="1" applyAlignment="1">
      <alignment horizontal="center" vertical="top" wrapText="1"/>
    </xf>
    <xf numFmtId="0" fontId="3" fillId="35" borderId="0" xfId="45" applyFont="1" applyFill="1" applyBorder="1" applyAlignment="1" applyProtection="1">
      <alignment horizontal="center" vertical="top" wrapText="1"/>
      <protection/>
    </xf>
    <xf numFmtId="0" fontId="3" fillId="35" borderId="1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 vertical="top"/>
    </xf>
    <xf numFmtId="0" fontId="0" fillId="0" borderId="0" xfId="0" applyAlignment="1" quotePrefix="1">
      <alignment/>
    </xf>
    <xf numFmtId="0" fontId="0" fillId="33" borderId="13" xfId="0" applyFill="1" applyBorder="1" applyAlignment="1">
      <alignment horizontal="center" wrapText="1"/>
    </xf>
    <xf numFmtId="9" fontId="8" fillId="0" borderId="0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 horizontal="center" wrapText="1"/>
    </xf>
    <xf numFmtId="9" fontId="8" fillId="36" borderId="14" xfId="0" applyNumberFormat="1" applyFont="1" applyFill="1" applyBorder="1" applyAlignment="1">
      <alignment horizontal="center" wrapText="1"/>
    </xf>
    <xf numFmtId="169" fontId="4" fillId="0" borderId="0" xfId="0" applyNumberFormat="1" applyFont="1" applyAlignment="1">
      <alignment/>
    </xf>
    <xf numFmtId="0" fontId="1" fillId="33" borderId="14" xfId="45" applyFill="1" applyBorder="1" applyAlignment="1" applyProtection="1">
      <alignment horizontal="center" wrapText="1"/>
      <protection/>
    </xf>
    <xf numFmtId="0" fontId="0" fillId="0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/>
    </xf>
    <xf numFmtId="0" fontId="1" fillId="33" borderId="15" xfId="45" applyFill="1" applyBorder="1" applyAlignment="1" applyProtection="1">
      <alignment horizontal="center" wrapText="1"/>
      <protection/>
    </xf>
    <xf numFmtId="170" fontId="1" fillId="33" borderId="11" xfId="45" applyNumberFormat="1" applyFill="1" applyBorder="1" applyAlignment="1" applyProtection="1">
      <alignment horizontal="center" vertical="top" wrapText="1"/>
      <protection/>
    </xf>
    <xf numFmtId="170" fontId="0" fillId="0" borderId="0" xfId="0" applyNumberFormat="1" applyFill="1" applyBorder="1" applyAlignment="1">
      <alignment horizontal="center" wrapText="1"/>
    </xf>
    <xf numFmtId="170" fontId="1" fillId="33" borderId="14" xfId="45" applyNumberFormat="1" applyFill="1" applyBorder="1" applyAlignment="1" applyProtection="1">
      <alignment horizontal="center" wrapText="1"/>
      <protection/>
    </xf>
    <xf numFmtId="170" fontId="0" fillId="0" borderId="0" xfId="0" applyNumberFormat="1" applyAlignment="1">
      <alignment/>
    </xf>
    <xf numFmtId="0" fontId="3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35" borderId="13" xfId="45" applyFont="1" applyFill="1" applyBorder="1" applyAlignment="1" applyProtection="1">
      <alignment horizontal="center" vertical="top" wrapText="1"/>
      <protection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5" xfId="0" applyFont="1" applyBorder="1" applyAlignment="1">
      <alignment/>
    </xf>
    <xf numFmtId="0" fontId="3" fillId="33" borderId="26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2" fontId="0" fillId="0" borderId="18" xfId="0" applyNumberFormat="1" applyBorder="1" applyAlignment="1">
      <alignment/>
    </xf>
    <xf numFmtId="0" fontId="3" fillId="35" borderId="28" xfId="45" applyFont="1" applyFill="1" applyBorder="1" applyAlignment="1" applyProtection="1">
      <alignment horizontal="center" vertical="top" wrapText="1"/>
      <protection/>
    </xf>
    <xf numFmtId="0" fontId="3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167" fontId="4" fillId="0" borderId="0" xfId="0" applyNumberFormat="1" applyFont="1" applyBorder="1" applyAlignment="1">
      <alignment/>
    </xf>
    <xf numFmtId="14" fontId="10" fillId="33" borderId="11" xfId="0" applyNumberFormat="1" applyFont="1" applyFill="1" applyBorder="1" applyAlignment="1">
      <alignment vertical="top" wrapText="1"/>
    </xf>
    <xf numFmtId="14" fontId="0" fillId="33" borderId="11" xfId="0" applyNumberFormat="1" applyFill="1" applyBorder="1" applyAlignment="1">
      <alignment wrapText="1"/>
    </xf>
    <xf numFmtId="0" fontId="0" fillId="0" borderId="14" xfId="0" applyBorder="1" applyAlignment="1">
      <alignment/>
    </xf>
    <xf numFmtId="3" fontId="0" fillId="33" borderId="11" xfId="0" applyNumberFormat="1" applyFill="1" applyBorder="1" applyAlignment="1">
      <alignment horizontal="center" wrapText="1"/>
    </xf>
    <xf numFmtId="170" fontId="0" fillId="0" borderId="24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3" fillId="35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33" borderId="0" xfId="0" applyFill="1" applyAlignment="1">
      <alignment wrapText="1"/>
    </xf>
    <xf numFmtId="0" fontId="0" fillId="0" borderId="11" xfId="0" applyBorder="1" applyAlignment="1">
      <alignment/>
    </xf>
    <xf numFmtId="0" fontId="4" fillId="0" borderId="21" xfId="0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29" xfId="0" applyFill="1" applyBorder="1" applyAlignment="1">
      <alignment wrapText="1"/>
    </xf>
    <xf numFmtId="0" fontId="0" fillId="33" borderId="29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0" fillId="33" borderId="30" xfId="0" applyFill="1" applyBorder="1" applyAlignment="1">
      <alignment wrapText="1"/>
    </xf>
    <xf numFmtId="0" fontId="0" fillId="33" borderId="31" xfId="0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3" fillId="35" borderId="32" xfId="45" applyFont="1" applyFill="1" applyBorder="1" applyAlignment="1" applyProtection="1">
      <alignment horizontal="center" vertical="top" wrapText="1"/>
      <protection/>
    </xf>
    <xf numFmtId="0" fontId="3" fillId="35" borderId="33" xfId="45" applyFont="1" applyFill="1" applyBorder="1" applyAlignment="1" applyProtection="1">
      <alignment horizontal="center" vertical="top" wrapText="1"/>
      <protection/>
    </xf>
    <xf numFmtId="0" fontId="3" fillId="35" borderId="34" xfId="4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19" xfId="0" applyNumberForma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67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32" xfId="0" applyFill="1" applyBorder="1" applyAlignment="1">
      <alignment wrapText="1"/>
    </xf>
    <xf numFmtId="0" fontId="0" fillId="33" borderId="32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9" fontId="0" fillId="0" borderId="24" xfId="0" applyNumberFormat="1" applyFont="1" applyFill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3" borderId="30" xfId="0" applyFill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13" fillId="0" borderId="23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14" fontId="0" fillId="37" borderId="14" xfId="0" applyNumberFormat="1" applyFill="1" applyBorder="1" applyAlignment="1">
      <alignment wrapText="1"/>
    </xf>
    <xf numFmtId="14" fontId="0" fillId="38" borderId="14" xfId="0" applyNumberFormat="1" applyFill="1" applyBorder="1" applyAlignment="1">
      <alignment wrapText="1"/>
    </xf>
    <xf numFmtId="14" fontId="0" fillId="39" borderId="14" xfId="0" applyNumberFormat="1" applyFill="1" applyBorder="1" applyAlignment="1">
      <alignment wrapText="1"/>
    </xf>
    <xf numFmtId="14" fontId="0" fillId="40" borderId="11" xfId="0" applyNumberFormat="1" applyFill="1" applyBorder="1" applyAlignment="1">
      <alignment wrapText="1"/>
    </xf>
    <xf numFmtId="14" fontId="0" fillId="37" borderId="11" xfId="0" applyNumberFormat="1" applyFill="1" applyBorder="1" applyAlignment="1">
      <alignment wrapText="1"/>
    </xf>
    <xf numFmtId="14" fontId="0" fillId="38" borderId="11" xfId="0" applyNumberFormat="1" applyFill="1" applyBorder="1" applyAlignment="1">
      <alignment wrapText="1"/>
    </xf>
    <xf numFmtId="14" fontId="0" fillId="0" borderId="11" xfId="0" applyNumberForma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4" fontId="0" fillId="39" borderId="11" xfId="0" applyNumberForma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23" xfId="0" applyFont="1" applyFill="1" applyBorder="1" applyAlignment="1">
      <alignment/>
    </xf>
    <xf numFmtId="167" fontId="0" fillId="0" borderId="36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7" fontId="0" fillId="0" borderId="18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36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3" fontId="0" fillId="33" borderId="14" xfId="0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3" fontId="0" fillId="33" borderId="29" xfId="0" applyNumberFormat="1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70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0" fillId="0" borderId="36" xfId="0" applyBorder="1" applyAlignment="1">
      <alignment/>
    </xf>
    <xf numFmtId="170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3" fontId="0" fillId="33" borderId="30" xfId="0" applyNumberFormat="1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14" fontId="0" fillId="0" borderId="30" xfId="0" applyNumberForma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0" fontId="0" fillId="33" borderId="41" xfId="0" applyFill="1" applyBorder="1" applyAlignment="1">
      <alignment horizontal="center" wrapText="1"/>
    </xf>
    <xf numFmtId="1" fontId="3" fillId="35" borderId="11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14" fontId="0" fillId="41" borderId="11" xfId="0" applyNumberForma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/>
    </xf>
    <xf numFmtId="3" fontId="0" fillId="33" borderId="31" xfId="0" applyNumberFormat="1" applyFill="1" applyBorder="1" applyAlignment="1">
      <alignment horizontal="center" wrapText="1"/>
    </xf>
    <xf numFmtId="14" fontId="0" fillId="40" borderId="29" xfId="0" applyNumberForma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1" fillId="33" borderId="34" xfId="45" applyFill="1" applyBorder="1" applyAlignment="1" applyProtection="1">
      <alignment horizontal="center" wrapText="1"/>
      <protection/>
    </xf>
    <xf numFmtId="170" fontId="1" fillId="33" borderId="34" xfId="45" applyNumberFormat="1" applyFill="1" applyBorder="1" applyAlignment="1" applyProtection="1">
      <alignment horizontal="center" wrapText="1"/>
      <protection/>
    </xf>
    <xf numFmtId="0" fontId="1" fillId="33" borderId="23" xfId="45" applyFill="1" applyBorder="1" applyAlignment="1" applyProtection="1">
      <alignment horizontal="center" wrapText="1"/>
      <protection/>
    </xf>
    <xf numFmtId="0" fontId="3" fillId="33" borderId="29" xfId="0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wrapText="1"/>
    </xf>
    <xf numFmtId="9" fontId="0" fillId="0" borderId="0" xfId="0" applyNumberFormat="1" applyFont="1" applyFill="1" applyBorder="1" applyAlignment="1">
      <alignment horizontal="center" wrapText="1"/>
    </xf>
    <xf numFmtId="14" fontId="0" fillId="38" borderId="13" xfId="0" applyNumberForma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14" fontId="0" fillId="42" borderId="11" xfId="0" applyNumberFormat="1" applyFill="1" applyBorder="1" applyAlignment="1">
      <alignment wrapText="1"/>
    </xf>
    <xf numFmtId="0" fontId="0" fillId="0" borderId="36" xfId="0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167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 wrapText="1"/>
    </xf>
    <xf numFmtId="3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177" fontId="6" fillId="43" borderId="0" xfId="0" applyNumberFormat="1" applyFont="1" applyFill="1" applyBorder="1" applyAlignment="1">
      <alignment/>
    </xf>
    <xf numFmtId="0" fontId="3" fillId="35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14" fontId="0" fillId="39" borderId="38" xfId="0" applyNumberFormat="1" applyFill="1" applyBorder="1" applyAlignment="1">
      <alignment wrapText="1"/>
    </xf>
    <xf numFmtId="14" fontId="0" fillId="38" borderId="37" xfId="0" applyNumberFormat="1" applyFill="1" applyBorder="1" applyAlignment="1">
      <alignment wrapText="1"/>
    </xf>
    <xf numFmtId="14" fontId="0" fillId="38" borderId="12" xfId="0" applyNumberFormat="1" applyFill="1" applyBorder="1" applyAlignment="1">
      <alignment wrapText="1"/>
    </xf>
    <xf numFmtId="14" fontId="0" fillId="37" borderId="12" xfId="0" applyNumberFormat="1" applyFill="1" applyBorder="1" applyAlignment="1">
      <alignment wrapText="1"/>
    </xf>
    <xf numFmtId="14" fontId="0" fillId="39" borderId="37" xfId="0" applyNumberFormat="1" applyFill="1" applyBorder="1" applyAlignment="1">
      <alignment wrapText="1"/>
    </xf>
    <xf numFmtId="0" fontId="0" fillId="33" borderId="42" xfId="0" applyFill="1" applyBorder="1" applyAlignment="1">
      <alignment horizontal="center" wrapText="1"/>
    </xf>
    <xf numFmtId="14" fontId="0" fillId="39" borderId="12" xfId="0" applyNumberFormat="1" applyFill="1" applyBorder="1" applyAlignment="1">
      <alignment wrapText="1"/>
    </xf>
    <xf numFmtId="0" fontId="2" fillId="0" borderId="3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67" fontId="18" fillId="0" borderId="35" xfId="0" applyNumberFormat="1" applyFont="1" applyFill="1" applyBorder="1" applyAlignment="1">
      <alignment horizontal="center" textRotation="180"/>
    </xf>
    <xf numFmtId="167" fontId="19" fillId="0" borderId="35" xfId="0" applyNumberFormat="1" applyFont="1" applyFill="1" applyBorder="1" applyAlignment="1">
      <alignment horizontal="center" textRotation="180"/>
    </xf>
    <xf numFmtId="0" fontId="20" fillId="33" borderId="11" xfId="0" applyFont="1" applyFill="1" applyBorder="1" applyAlignment="1">
      <alignment wrapText="1"/>
    </xf>
    <xf numFmtId="0" fontId="20" fillId="33" borderId="11" xfId="0" applyFont="1" applyFill="1" applyBorder="1" applyAlignment="1">
      <alignment horizontal="center" wrapText="1"/>
    </xf>
    <xf numFmtId="0" fontId="2" fillId="19" borderId="35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18" borderId="35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17" fontId="2" fillId="0" borderId="35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82" fillId="44" borderId="28" xfId="0" applyFont="1" applyFill="1" applyBorder="1" applyAlignment="1">
      <alignment horizontal="center" vertical="top" wrapText="1"/>
    </xf>
    <xf numFmtId="0" fontId="82" fillId="44" borderId="14" xfId="0" applyFont="1" applyFill="1" applyBorder="1" applyAlignment="1">
      <alignment horizontal="center" vertical="top" wrapText="1"/>
    </xf>
    <xf numFmtId="0" fontId="83" fillId="44" borderId="15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wrapText="1"/>
    </xf>
    <xf numFmtId="0" fontId="20" fillId="33" borderId="16" xfId="0" applyFont="1" applyFill="1" applyBorder="1" applyAlignment="1">
      <alignment horizontal="center" wrapText="1"/>
    </xf>
    <xf numFmtId="3" fontId="20" fillId="33" borderId="11" xfId="0" applyNumberFormat="1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2" fillId="12" borderId="35" xfId="0" applyFont="1" applyFill="1" applyBorder="1" applyAlignment="1">
      <alignment horizontal="center"/>
    </xf>
    <xf numFmtId="0" fontId="84" fillId="7" borderId="3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85" fillId="45" borderId="0" xfId="0" applyFont="1" applyFill="1" applyAlignment="1">
      <alignment horizontal="center" vertical="center"/>
    </xf>
    <xf numFmtId="0" fontId="85" fillId="46" borderId="0" xfId="0" applyFont="1" applyFill="1" applyAlignment="1">
      <alignment horizontal="center" vertical="center"/>
    </xf>
    <xf numFmtId="0" fontId="85" fillId="47" borderId="0" xfId="0" applyFont="1" applyFill="1" applyAlignment="1">
      <alignment horizontal="center" vertical="center"/>
    </xf>
    <xf numFmtId="0" fontId="86" fillId="48" borderId="0" xfId="0" applyFont="1" applyFill="1" applyAlignment="1">
      <alignment horizontal="center" vertical="center"/>
    </xf>
    <xf numFmtId="0" fontId="87" fillId="49" borderId="0" xfId="0" applyFont="1" applyFill="1" applyAlignment="1">
      <alignment horizontal="center" vertical="center"/>
    </xf>
    <xf numFmtId="0" fontId="88" fillId="50" borderId="0" xfId="0" applyFont="1" applyFill="1" applyAlignment="1">
      <alignment horizontal="center" vertical="center"/>
    </xf>
    <xf numFmtId="0" fontId="85" fillId="51" borderId="0" xfId="0" applyFont="1" applyFill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90" fillId="52" borderId="0" xfId="0" applyFont="1" applyFill="1" applyAlignment="1">
      <alignment horizontal="center" vertical="center"/>
    </xf>
    <xf numFmtId="0" fontId="88" fillId="53" borderId="0" xfId="0" applyFont="1" applyFill="1" applyAlignment="1">
      <alignment horizontal="center" vertical="center"/>
    </xf>
    <xf numFmtId="0" fontId="91" fillId="54" borderId="0" xfId="0" applyFont="1" applyFill="1" applyAlignment="1">
      <alignment horizontal="center" vertical="center"/>
    </xf>
    <xf numFmtId="0" fontId="52" fillId="55" borderId="0" xfId="0" applyFont="1" applyFill="1" applyAlignment="1">
      <alignment horizontal="center" vertical="center"/>
    </xf>
    <xf numFmtId="0" fontId="91" fillId="56" borderId="0" xfId="0" applyFont="1" applyFill="1" applyAlignment="1">
      <alignment horizontal="center" vertical="center"/>
    </xf>
    <xf numFmtId="0" fontId="85" fillId="57" borderId="0" xfId="0" applyFont="1" applyFill="1" applyAlignment="1">
      <alignment horizontal="center" vertical="center"/>
    </xf>
    <xf numFmtId="0" fontId="85" fillId="58" borderId="0" xfId="0" applyFont="1" applyFill="1" applyAlignment="1">
      <alignment horizontal="center" vertical="center"/>
    </xf>
    <xf numFmtId="14" fontId="0" fillId="39" borderId="29" xfId="0" applyNumberFormat="1" applyFill="1" applyBorder="1" applyAlignment="1">
      <alignment wrapText="1"/>
    </xf>
    <xf numFmtId="0" fontId="0" fillId="33" borderId="14" xfId="0" applyFont="1" applyFill="1" applyBorder="1" applyAlignment="1">
      <alignment horizontal="center" wrapText="1"/>
    </xf>
    <xf numFmtId="2" fontId="3" fillId="0" borderId="21" xfId="0" applyNumberFormat="1" applyFont="1" applyBorder="1" applyAlignment="1">
      <alignment horizontal="center"/>
    </xf>
    <xf numFmtId="0" fontId="85" fillId="59" borderId="0" xfId="0" applyFont="1" applyFill="1" applyAlignment="1">
      <alignment horizontal="center"/>
    </xf>
    <xf numFmtId="0" fontId="52" fillId="60" borderId="0" xfId="0" applyFont="1" applyFill="1" applyAlignment="1">
      <alignment horizontal="center"/>
    </xf>
    <xf numFmtId="0" fontId="91" fillId="61" borderId="0" xfId="0" applyFont="1" applyFill="1" applyAlignment="1">
      <alignment horizontal="center" vertical="center"/>
    </xf>
    <xf numFmtId="0" fontId="89" fillId="62" borderId="0" xfId="0" applyFont="1" applyFill="1" applyAlignment="1">
      <alignment horizontal="center"/>
    </xf>
    <xf numFmtId="177" fontId="53" fillId="0" borderId="0" xfId="0" applyNumberFormat="1" applyFont="1" applyAlignment="1">
      <alignment horizontal="right"/>
    </xf>
    <xf numFmtId="177" fontId="53" fillId="0" borderId="0" xfId="0" applyNumberFormat="1" applyFont="1" applyFill="1" applyBorder="1" applyAlignment="1">
      <alignment horizontal="right"/>
    </xf>
    <xf numFmtId="0" fontId="88" fillId="63" borderId="0" xfId="0" applyFont="1" applyFill="1" applyAlignment="1">
      <alignment horizontal="center" vertical="center"/>
    </xf>
    <xf numFmtId="0" fontId="88" fillId="64" borderId="0" xfId="0" applyFont="1" applyFill="1" applyBorder="1" applyAlignment="1">
      <alignment horizontal="center"/>
    </xf>
    <xf numFmtId="0" fontId="91" fillId="65" borderId="0" xfId="0" applyFont="1" applyFill="1" applyAlignment="1">
      <alignment horizontal="center"/>
    </xf>
    <xf numFmtId="0" fontId="92" fillId="58" borderId="0" xfId="0" applyFont="1" applyFill="1" applyAlignment="1">
      <alignment horizontal="center" vertical="center"/>
    </xf>
    <xf numFmtId="0" fontId="52" fillId="66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wrapText="1"/>
    </xf>
    <xf numFmtId="14" fontId="0" fillId="37" borderId="38" xfId="0" applyNumberForma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41" xfId="0" applyFill="1" applyBorder="1" applyAlignment="1">
      <alignment horizontal="center" wrapText="1"/>
    </xf>
    <xf numFmtId="3" fontId="0" fillId="0" borderId="30" xfId="0" applyNumberForma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85" fillId="67" borderId="12" xfId="0" applyFont="1" applyFill="1" applyBorder="1" applyAlignment="1">
      <alignment horizontal="center" wrapText="1"/>
    </xf>
    <xf numFmtId="0" fontId="85" fillId="46" borderId="0" xfId="0" applyFont="1" applyFill="1" applyAlignment="1">
      <alignment horizontal="center"/>
    </xf>
    <xf numFmtId="0" fontId="2" fillId="68" borderId="14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43" xfId="0" applyFont="1" applyBorder="1" applyAlignment="1">
      <alignment horizontal="left"/>
    </xf>
    <xf numFmtId="0" fontId="55" fillId="0" borderId="43" xfId="0" applyFont="1" applyBorder="1" applyAlignment="1">
      <alignment/>
    </xf>
    <xf numFmtId="0" fontId="0" fillId="0" borderId="44" xfId="0" applyBorder="1" applyAlignment="1">
      <alignment/>
    </xf>
    <xf numFmtId="177" fontId="55" fillId="0" borderId="45" xfId="0" applyNumberFormat="1" applyFont="1" applyBorder="1" applyAlignment="1">
      <alignment/>
    </xf>
    <xf numFmtId="0" fontId="55" fillId="0" borderId="46" xfId="0" applyFont="1" applyBorder="1" applyAlignment="1">
      <alignment/>
    </xf>
    <xf numFmtId="0" fontId="55" fillId="0" borderId="47" xfId="0" applyFont="1" applyBorder="1" applyAlignment="1">
      <alignment/>
    </xf>
    <xf numFmtId="177" fontId="56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" fontId="3" fillId="33" borderId="11" xfId="0" applyNumberFormat="1" applyFont="1" applyFill="1" applyBorder="1" applyAlignment="1">
      <alignment horizontal="center" vertical="top" wrapText="1"/>
    </xf>
    <xf numFmtId="17" fontId="3" fillId="33" borderId="13" xfId="0" applyNumberFormat="1" applyFont="1" applyFill="1" applyBorder="1" applyAlignment="1">
      <alignment horizontal="center" vertical="top" wrapText="1"/>
    </xf>
    <xf numFmtId="17" fontId="3" fillId="33" borderId="13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77" fontId="55" fillId="0" borderId="14" xfId="0" applyNumberFormat="1" applyFont="1" applyBorder="1" applyAlignment="1">
      <alignment/>
    </xf>
    <xf numFmtId="177" fontId="56" fillId="0" borderId="14" xfId="0" applyNumberFormat="1" applyFont="1" applyBorder="1" applyAlignment="1">
      <alignment/>
    </xf>
    <xf numFmtId="0" fontId="55" fillId="0" borderId="1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5" fillId="0" borderId="31" xfId="0" applyFont="1" applyBorder="1" applyAlignment="1">
      <alignment horizontal="center"/>
    </xf>
    <xf numFmtId="0" fontId="56" fillId="0" borderId="52" xfId="0" applyFont="1" applyFill="1" applyBorder="1" applyAlignment="1">
      <alignment horizontal="center"/>
    </xf>
    <xf numFmtId="0" fontId="57" fillId="0" borderId="46" xfId="0" applyFont="1" applyBorder="1" applyAlignment="1">
      <alignment/>
    </xf>
    <xf numFmtId="0" fontId="57" fillId="0" borderId="0" xfId="0" applyFont="1" applyBorder="1" applyAlignment="1">
      <alignment/>
    </xf>
    <xf numFmtId="0" fontId="2" fillId="10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85" fillId="67" borderId="0" xfId="0" applyFont="1" applyFill="1" applyAlignment="1">
      <alignment horizontal="center" wrapText="1"/>
    </xf>
    <xf numFmtId="17" fontId="3" fillId="35" borderId="22" xfId="0" applyNumberFormat="1" applyFont="1" applyFill="1" applyBorder="1" applyAlignment="1">
      <alignment horizontal="center" vertical="top" wrapText="1"/>
    </xf>
    <xf numFmtId="17" fontId="3" fillId="35" borderId="14" xfId="0" applyNumberFormat="1" applyFont="1" applyFill="1" applyBorder="1" applyAlignment="1">
      <alignment horizontal="center" vertical="top" wrapText="1"/>
    </xf>
    <xf numFmtId="0" fontId="85" fillId="69" borderId="12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14" fontId="0" fillId="40" borderId="14" xfId="0" applyNumberFormat="1" applyFill="1" applyBorder="1" applyAlignment="1">
      <alignment wrapText="1"/>
    </xf>
    <xf numFmtId="0" fontId="12" fillId="0" borderId="14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55" fillId="0" borderId="53" xfId="0" applyFont="1" applyBorder="1" applyAlignment="1">
      <alignment horizontal="left"/>
    </xf>
    <xf numFmtId="0" fontId="2" fillId="6" borderId="34" xfId="0" applyFont="1" applyFill="1" applyBorder="1" applyAlignment="1">
      <alignment horizontal="center"/>
    </xf>
    <xf numFmtId="0" fontId="0" fillId="33" borderId="39" xfId="0" applyFill="1" applyBorder="1" applyAlignment="1">
      <alignment horizontal="center" wrapText="1"/>
    </xf>
    <xf numFmtId="177" fontId="55" fillId="0" borderId="0" xfId="0" applyNumberFormat="1" applyFont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85" fillId="46" borderId="1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93" fillId="44" borderId="15" xfId="0" applyFont="1" applyFill="1" applyBorder="1" applyAlignment="1">
      <alignment/>
    </xf>
    <xf numFmtId="177" fontId="55" fillId="0" borderId="31" xfId="0" applyNumberFormat="1" applyFont="1" applyBorder="1" applyAlignment="1">
      <alignment/>
    </xf>
    <xf numFmtId="177" fontId="55" fillId="0" borderId="35" xfId="0" applyNumberFormat="1" applyFont="1" applyBorder="1" applyAlignment="1">
      <alignment/>
    </xf>
    <xf numFmtId="177" fontId="55" fillId="0" borderId="34" xfId="0" applyNumberFormat="1" applyFont="1" applyBorder="1" applyAlignment="1">
      <alignment/>
    </xf>
    <xf numFmtId="177" fontId="94" fillId="0" borderId="0" xfId="0" applyNumberFormat="1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16" fontId="0" fillId="70" borderId="54" xfId="0" applyNumberFormat="1" applyFill="1" applyBorder="1" applyAlignment="1">
      <alignment horizontal="left" wrapText="1"/>
    </xf>
    <xf numFmtId="180" fontId="0" fillId="71" borderId="54" xfId="0" applyNumberFormat="1" applyFill="1" applyBorder="1" applyAlignment="1">
      <alignment horizontal="left" wrapText="1"/>
    </xf>
    <xf numFmtId="16" fontId="0" fillId="72" borderId="54" xfId="0" applyNumberFormat="1" applyFill="1" applyBorder="1" applyAlignment="1">
      <alignment horizontal="left" wrapText="1"/>
    </xf>
    <xf numFmtId="14" fontId="0" fillId="73" borderId="11" xfId="0" applyNumberFormat="1" applyFill="1" applyBorder="1" applyAlignment="1">
      <alignment horizontal="left" wrapText="1"/>
    </xf>
    <xf numFmtId="16" fontId="0" fillId="70" borderId="11" xfId="0" applyNumberFormat="1" applyFill="1" applyBorder="1" applyAlignment="1">
      <alignment horizontal="left" wrapText="1"/>
    </xf>
    <xf numFmtId="14" fontId="0" fillId="73" borderId="54" xfId="0" applyNumberFormat="1" applyFill="1" applyBorder="1" applyAlignment="1">
      <alignment horizontal="left" wrapText="1"/>
    </xf>
    <xf numFmtId="16" fontId="0" fillId="72" borderId="11" xfId="0" applyNumberFormat="1" applyFill="1" applyBorder="1" applyAlignment="1">
      <alignment horizontal="left" wrapText="1"/>
    </xf>
    <xf numFmtId="180" fontId="0" fillId="71" borderId="11" xfId="0" applyNumberFormat="1" applyFill="1" applyBorder="1" applyAlignment="1">
      <alignment horizontal="left" wrapText="1"/>
    </xf>
    <xf numFmtId="0" fontId="52" fillId="74" borderId="12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/>
    </xf>
    <xf numFmtId="17" fontId="25" fillId="0" borderId="35" xfId="0" applyNumberFormat="1" applyFont="1" applyFill="1" applyBorder="1" applyAlignment="1">
      <alignment horizontal="center"/>
    </xf>
    <xf numFmtId="0" fontId="25" fillId="18" borderId="22" xfId="0" applyFont="1" applyFill="1" applyBorder="1" applyAlignment="1">
      <alignment horizontal="center"/>
    </xf>
    <xf numFmtId="0" fontId="25" fillId="19" borderId="22" xfId="0" applyFont="1" applyFill="1" applyBorder="1" applyAlignment="1">
      <alignment horizontal="center"/>
    </xf>
    <xf numFmtId="0" fontId="25" fillId="6" borderId="22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95" fillId="7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" fillId="16" borderId="35" xfId="0" applyFont="1" applyFill="1" applyBorder="1" applyAlignment="1">
      <alignment horizontal="center"/>
    </xf>
    <xf numFmtId="0" fontId="0" fillId="75" borderId="31" xfId="0" applyFill="1" applyBorder="1" applyAlignment="1">
      <alignment horizontal="center" vertical="center"/>
    </xf>
    <xf numFmtId="0" fontId="0" fillId="75" borderId="35" xfId="0" applyFill="1" applyBorder="1" applyAlignment="1">
      <alignment horizontal="center" vertical="center"/>
    </xf>
    <xf numFmtId="0" fontId="0" fillId="75" borderId="3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76" borderId="31" xfId="0" applyFill="1" applyBorder="1" applyAlignment="1">
      <alignment horizontal="center" vertical="center"/>
    </xf>
    <xf numFmtId="0" fontId="0" fillId="76" borderId="34" xfId="0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68" borderId="14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1" borderId="36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76" borderId="19" xfId="0" applyFill="1" applyBorder="1" applyAlignment="1">
      <alignment horizontal="center"/>
    </xf>
    <xf numFmtId="0" fontId="0" fillId="76" borderId="20" xfId="0" applyFill="1" applyBorder="1" applyAlignment="1">
      <alignment horizontal="center"/>
    </xf>
    <xf numFmtId="0" fontId="0" fillId="76" borderId="24" xfId="0" applyFill="1" applyBorder="1" applyAlignment="1">
      <alignment horizontal="center"/>
    </xf>
    <xf numFmtId="0" fontId="0" fillId="76" borderId="25" xfId="0" applyFill="1" applyBorder="1" applyAlignment="1">
      <alignment horizontal="center"/>
    </xf>
    <xf numFmtId="0" fontId="0" fillId="75" borderId="19" xfId="0" applyFill="1" applyBorder="1" applyAlignment="1">
      <alignment horizontal="center"/>
    </xf>
    <xf numFmtId="0" fontId="0" fillId="75" borderId="20" xfId="0" applyFill="1" applyBorder="1" applyAlignment="1">
      <alignment horizontal="center"/>
    </xf>
    <xf numFmtId="0" fontId="0" fillId="75" borderId="0" xfId="0" applyFill="1" applyBorder="1" applyAlignment="1">
      <alignment horizontal="center"/>
    </xf>
    <xf numFmtId="0" fontId="0" fillId="75" borderId="22" xfId="0" applyFill="1" applyBorder="1" applyAlignment="1">
      <alignment horizontal="center"/>
    </xf>
    <xf numFmtId="0" fontId="0" fillId="75" borderId="24" xfId="0" applyFill="1" applyBorder="1" applyAlignment="1">
      <alignment horizontal="center"/>
    </xf>
    <xf numFmtId="0" fontId="0" fillId="75" borderId="25" xfId="0" applyFill="1" applyBorder="1" applyAlignment="1">
      <alignment horizontal="center"/>
    </xf>
    <xf numFmtId="0" fontId="3" fillId="33" borderId="28" xfId="0" applyFont="1" applyFill="1" applyBorder="1" applyAlignment="1">
      <alignment horizontal="center" vertical="top" wrapText="1"/>
    </xf>
    <xf numFmtId="0" fontId="52" fillId="77" borderId="14" xfId="0" applyFont="1" applyFill="1" applyBorder="1" applyAlignment="1">
      <alignment horizontal="center"/>
    </xf>
    <xf numFmtId="0" fontId="88" fillId="78" borderId="14" xfId="0" applyFont="1" applyFill="1" applyBorder="1" applyAlignment="1">
      <alignment horizontal="center"/>
    </xf>
    <xf numFmtId="0" fontId="85" fillId="79" borderId="14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/>
    </xf>
    <xf numFmtId="0" fontId="90" fillId="52" borderId="14" xfId="0" applyFont="1" applyFill="1" applyBorder="1" applyAlignment="1">
      <alignment horizontal="center" vertical="center"/>
    </xf>
    <xf numFmtId="0" fontId="89" fillId="62" borderId="14" xfId="0" applyFont="1" applyFill="1" applyBorder="1" applyAlignment="1">
      <alignment horizontal="center"/>
    </xf>
    <xf numFmtId="0" fontId="85" fillId="80" borderId="14" xfId="0" applyFont="1" applyFill="1" applyBorder="1" applyAlignment="1">
      <alignment horizontal="center" vertical="center"/>
    </xf>
    <xf numFmtId="0" fontId="52" fillId="81" borderId="14" xfId="0" applyFont="1" applyFill="1" applyBorder="1" applyAlignment="1">
      <alignment horizontal="center" vertical="center"/>
    </xf>
    <xf numFmtId="0" fontId="85" fillId="82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wrapText="1"/>
    </xf>
    <xf numFmtId="0" fontId="0" fillId="33" borderId="24" xfId="0" applyFill="1" applyBorder="1" applyAlignment="1">
      <alignment wrapText="1"/>
    </xf>
    <xf numFmtId="14" fontId="0" fillId="38" borderId="30" xfId="0" applyNumberFormat="1" applyFill="1" applyBorder="1" applyAlignment="1">
      <alignment wrapText="1"/>
    </xf>
    <xf numFmtId="0" fontId="0" fillId="0" borderId="32" xfId="0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14" fontId="0" fillId="37" borderId="13" xfId="0" applyNumberFormat="1" applyFill="1" applyBorder="1" applyAlignment="1">
      <alignment wrapText="1"/>
    </xf>
    <xf numFmtId="0" fontId="0" fillId="0" borderId="55" xfId="0" applyFont="1" applyFill="1" applyBorder="1" applyAlignment="1">
      <alignment horizontal="center" wrapText="1"/>
    </xf>
    <xf numFmtId="0" fontId="25" fillId="0" borderId="35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85" fillId="67" borderId="14" xfId="0" applyFont="1" applyFill="1" applyBorder="1" applyAlignment="1">
      <alignment horizontal="center" wrapText="1"/>
    </xf>
    <xf numFmtId="0" fontId="2" fillId="7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5" fillId="18" borderId="35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0" borderId="0" xfId="0" applyFont="1" applyFill="1" applyBorder="1" applyAlignment="1" quotePrefix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10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18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68" borderId="14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41" borderId="15" xfId="0" applyFill="1" applyBorder="1" applyAlignment="1" quotePrefix="1">
      <alignment horizontal="left"/>
    </xf>
    <xf numFmtId="0" fontId="0" fillId="41" borderId="36" xfId="0" applyFill="1" applyBorder="1" applyAlignment="1" quotePrefix="1">
      <alignment horizontal="left"/>
    </xf>
    <xf numFmtId="0" fontId="0" fillId="41" borderId="17" xfId="0" applyFill="1" applyBorder="1" applyAlignment="1" quotePrefix="1">
      <alignment horizontal="left"/>
    </xf>
    <xf numFmtId="0" fontId="0" fillId="34" borderId="18" xfId="0" applyFill="1" applyBorder="1" applyAlignment="1" quotePrefix="1">
      <alignment horizontal="left"/>
    </xf>
    <xf numFmtId="0" fontId="0" fillId="34" borderId="19" xfId="0" applyFill="1" applyBorder="1" applyAlignment="1" quotePrefix="1">
      <alignment horizontal="left"/>
    </xf>
    <xf numFmtId="0" fontId="0" fillId="34" borderId="20" xfId="0" applyFill="1" applyBorder="1" applyAlignment="1" quotePrefix="1">
      <alignment horizontal="left"/>
    </xf>
    <xf numFmtId="0" fontId="0" fillId="34" borderId="23" xfId="0" applyFill="1" applyBorder="1" applyAlignment="1" quotePrefix="1">
      <alignment horizontal="left"/>
    </xf>
    <xf numFmtId="0" fontId="0" fillId="34" borderId="24" xfId="0" applyFill="1" applyBorder="1" applyAlignment="1" quotePrefix="1">
      <alignment horizontal="left"/>
    </xf>
    <xf numFmtId="0" fontId="0" fillId="34" borderId="25" xfId="0" applyFill="1" applyBorder="1" applyAlignment="1" quotePrefix="1">
      <alignment horizontal="left"/>
    </xf>
    <xf numFmtId="0" fontId="0" fillId="76" borderId="18" xfId="0" applyFill="1" applyBorder="1" applyAlignment="1" quotePrefix="1">
      <alignment horizontal="left"/>
    </xf>
    <xf numFmtId="0" fontId="0" fillId="76" borderId="19" xfId="0" applyFill="1" applyBorder="1" applyAlignment="1" quotePrefix="1">
      <alignment horizontal="left"/>
    </xf>
    <xf numFmtId="0" fontId="0" fillId="76" borderId="20" xfId="0" applyFill="1" applyBorder="1" applyAlignment="1" quotePrefix="1">
      <alignment horizontal="left"/>
    </xf>
    <xf numFmtId="0" fontId="0" fillId="76" borderId="23" xfId="0" applyFill="1" applyBorder="1" applyAlignment="1" quotePrefix="1">
      <alignment horizontal="left"/>
    </xf>
    <xf numFmtId="0" fontId="0" fillId="76" borderId="24" xfId="0" applyFill="1" applyBorder="1" applyAlignment="1" quotePrefix="1">
      <alignment horizontal="left"/>
    </xf>
    <xf numFmtId="0" fontId="0" fillId="76" borderId="25" xfId="0" applyFill="1" applyBorder="1" applyAlignment="1" quotePrefix="1">
      <alignment horizontal="left"/>
    </xf>
    <xf numFmtId="0" fontId="0" fillId="75" borderId="18" xfId="0" applyFill="1" applyBorder="1" applyAlignment="1" quotePrefix="1">
      <alignment horizontal="left"/>
    </xf>
    <xf numFmtId="0" fontId="0" fillId="75" borderId="19" xfId="0" applyFill="1" applyBorder="1" applyAlignment="1" quotePrefix="1">
      <alignment horizontal="left"/>
    </xf>
    <xf numFmtId="0" fontId="0" fillId="75" borderId="20" xfId="0" applyFill="1" applyBorder="1" applyAlignment="1" quotePrefix="1">
      <alignment horizontal="left"/>
    </xf>
    <xf numFmtId="0" fontId="0" fillId="75" borderId="18" xfId="0" applyFill="1" applyBorder="1" applyAlignment="1" quotePrefix="1">
      <alignment horizontal="center" vertical="center"/>
    </xf>
    <xf numFmtId="0" fontId="0" fillId="75" borderId="21" xfId="0" applyFill="1" applyBorder="1" applyAlignment="1" quotePrefix="1">
      <alignment horizontal="center" vertical="center"/>
    </xf>
    <xf numFmtId="0" fontId="0" fillId="75" borderId="23" xfId="0" applyFill="1" applyBorder="1" applyAlignment="1" quotePrefix="1">
      <alignment horizontal="center" vertical="center"/>
    </xf>
    <xf numFmtId="0" fontId="0" fillId="34" borderId="18" xfId="0" applyFill="1" applyBorder="1" applyAlignment="1" quotePrefix="1">
      <alignment horizontal="center" vertical="center"/>
    </xf>
    <xf numFmtId="0" fontId="0" fillId="34" borderId="23" xfId="0" applyFill="1" applyBorder="1" applyAlignment="1" quotePrefix="1">
      <alignment horizontal="center" vertical="center"/>
    </xf>
    <xf numFmtId="0" fontId="0" fillId="76" borderId="18" xfId="0" applyFill="1" applyBorder="1" applyAlignment="1" quotePrefix="1">
      <alignment horizontal="center" vertical="center"/>
    </xf>
    <xf numFmtId="0" fontId="0" fillId="76" borderId="23" xfId="0" applyFill="1" applyBorder="1" applyAlignment="1" quotePrefix="1">
      <alignment horizontal="center" vertical="center"/>
    </xf>
    <xf numFmtId="0" fontId="0" fillId="75" borderId="21" xfId="0" applyFill="1" applyBorder="1" applyAlignment="1" quotePrefix="1">
      <alignment horizontal="left"/>
    </xf>
    <xf numFmtId="0" fontId="0" fillId="75" borderId="0" xfId="0" applyFill="1" applyBorder="1" applyAlignment="1" quotePrefix="1">
      <alignment horizontal="left"/>
    </xf>
    <xf numFmtId="0" fontId="0" fillId="75" borderId="22" xfId="0" applyFill="1" applyBorder="1" applyAlignment="1" quotePrefix="1">
      <alignment horizontal="left"/>
    </xf>
    <xf numFmtId="0" fontId="0" fillId="75" borderId="23" xfId="0" applyFill="1" applyBorder="1" applyAlignment="1" quotePrefix="1">
      <alignment horizontal="left"/>
    </xf>
    <xf numFmtId="0" fontId="0" fillId="75" borderId="24" xfId="0" applyFill="1" applyBorder="1" applyAlignment="1" quotePrefix="1">
      <alignment horizontal="left"/>
    </xf>
    <xf numFmtId="0" fontId="0" fillId="75" borderId="25" xfId="0" applyFill="1" applyBorder="1" applyAlignment="1" quotePrefix="1">
      <alignment horizontal="left"/>
    </xf>
    <xf numFmtId="0" fontId="62" fillId="0" borderId="56" xfId="0" applyFont="1" applyBorder="1" applyAlignment="1">
      <alignment horizontal="center"/>
    </xf>
    <xf numFmtId="0" fontId="62" fillId="0" borderId="57" xfId="0" applyFont="1" applyBorder="1" applyAlignment="1">
      <alignment horizontal="center"/>
    </xf>
    <xf numFmtId="0" fontId="62" fillId="0" borderId="58" xfId="0" applyFont="1" applyBorder="1" applyAlignment="1">
      <alignment horizontal="center"/>
    </xf>
    <xf numFmtId="0" fontId="56" fillId="5" borderId="59" xfId="0" applyFont="1" applyFill="1" applyBorder="1" applyAlignment="1">
      <alignment horizontal="center"/>
    </xf>
    <xf numFmtId="0" fontId="56" fillId="5" borderId="60" xfId="0" applyFont="1" applyFill="1" applyBorder="1" applyAlignment="1">
      <alignment horizontal="center"/>
    </xf>
    <xf numFmtId="0" fontId="56" fillId="4" borderId="61" xfId="0" applyFont="1" applyFill="1" applyBorder="1" applyAlignment="1">
      <alignment horizontal="center"/>
    </xf>
    <xf numFmtId="0" fontId="56" fillId="4" borderId="62" xfId="0" applyFont="1" applyFill="1" applyBorder="1" applyAlignment="1">
      <alignment horizontal="center"/>
    </xf>
    <xf numFmtId="0" fontId="56" fillId="4" borderId="63" xfId="0" applyFont="1" applyFill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97" fillId="0" borderId="24" xfId="0" applyFont="1" applyBorder="1" applyAlignment="1">
      <alignment horizontal="center" vertical="center"/>
    </xf>
    <xf numFmtId="0" fontId="0" fillId="33" borderId="31" xfId="0" applyFont="1" applyFill="1" applyBorder="1" applyAlignment="1">
      <alignment horizontal="center" wrapText="1"/>
    </xf>
    <xf numFmtId="14" fontId="0" fillId="83" borderId="11" xfId="0" applyNumberFormat="1" applyFill="1" applyBorder="1" applyAlignment="1">
      <alignment wrapText="1"/>
    </xf>
    <xf numFmtId="0" fontId="96" fillId="0" borderId="34" xfId="0" applyFont="1" applyFill="1" applyBorder="1" applyAlignment="1">
      <alignment horizontal="center"/>
    </xf>
    <xf numFmtId="0" fontId="98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33" borderId="66" xfId="0" applyFont="1" applyFill="1" applyBorder="1" applyAlignment="1">
      <alignment wrapText="1"/>
    </xf>
    <xf numFmtId="2" fontId="0" fillId="33" borderId="67" xfId="0" applyNumberForma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68" xfId="0" applyBorder="1" applyAlignment="1">
      <alignment/>
    </xf>
    <xf numFmtId="0" fontId="0" fillId="33" borderId="66" xfId="0" applyFill="1" applyBorder="1" applyAlignment="1">
      <alignment wrapText="1"/>
    </xf>
    <xf numFmtId="0" fontId="0" fillId="0" borderId="43" xfId="0" applyBorder="1" applyAlignment="1">
      <alignment/>
    </xf>
    <xf numFmtId="0" fontId="2" fillId="0" borderId="69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33" borderId="66" xfId="0" applyFont="1" applyFill="1" applyBorder="1" applyAlignment="1">
      <alignment wrapText="1"/>
    </xf>
    <xf numFmtId="0" fontId="0" fillId="33" borderId="70" xfId="0" applyFont="1" applyFill="1" applyBorder="1" applyAlignment="1">
      <alignment wrapText="1"/>
    </xf>
    <xf numFmtId="0" fontId="0" fillId="33" borderId="71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/>
    </xf>
    <xf numFmtId="2" fontId="0" fillId="33" borderId="72" xfId="0" applyNumberFormat="1" applyFill="1" applyBorder="1" applyAlignment="1">
      <alignment horizontal="center" wrapText="1"/>
    </xf>
    <xf numFmtId="0" fontId="98" fillId="0" borderId="73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99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74" xfId="0" applyFont="1" applyBorder="1" applyAlignment="1">
      <alignment/>
    </xf>
    <xf numFmtId="0" fontId="4" fillId="34" borderId="14" xfId="0" applyFont="1" applyFill="1" applyBorder="1" applyAlignment="1" quotePrefix="1">
      <alignment horizontal="left" vertical="center"/>
    </xf>
    <xf numFmtId="0" fontId="4" fillId="34" borderId="14" xfId="0" applyFont="1" applyFill="1" applyBorder="1" applyAlignment="1" quotePrefix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61"/>
      </font>
      <fill>
        <patternFill>
          <bgColor indexed="47"/>
        </patternFill>
      </fill>
    </dxf>
    <dxf>
      <font>
        <color indexed="61"/>
      </font>
      <fill>
        <patternFill>
          <bgColor indexed="47"/>
        </patternFill>
      </fill>
    </dxf>
    <dxf>
      <font>
        <color indexed="61"/>
      </font>
      <fill>
        <patternFill>
          <bgColor indexed="47"/>
        </patternFill>
      </fill>
    </dxf>
    <dxf>
      <font>
        <color indexed="61"/>
      </font>
      <fill>
        <patternFill>
          <bgColor indexed="47"/>
        </patternFill>
      </fill>
    </dxf>
    <dxf>
      <font>
        <b/>
        <i val="0"/>
      </font>
      <fill>
        <patternFill>
          <bgColor indexed="61"/>
        </patternFill>
      </fill>
    </dxf>
    <dxf>
      <font>
        <color indexed="6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161925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1manager.com/ClubHouse.php?page=equipe_effectif.php&amp;name=e2a921a33c4b4a4450deb681e4d3528a" TargetMode="External" /><Relationship Id="rId2" Type="http://schemas.openxmlformats.org/officeDocument/2006/relationships/hyperlink" Target="http://www.11manager.com/ClubHouse.php?page=equipe_effectif.php&amp;name=e2a921a33c4b4a4450deb681e4d3528a" TargetMode="External" /><Relationship Id="rId3" Type="http://schemas.openxmlformats.org/officeDocument/2006/relationships/hyperlink" Target="http://www.11manager.com/ClubHouse.php?page=equipe_effectif.php&amp;name=e2a921a33c4b4a4450deb681e4d3528a" TargetMode="External" /><Relationship Id="rId4" Type="http://schemas.openxmlformats.org/officeDocument/2006/relationships/hyperlink" Target="http://www.xvmanager.fr/ClubHouse.php?page=equipe_effectif.php&amp;name=33b8eea9895c78e1346bedba7a07f552" TargetMode="External" /><Relationship Id="rId5" Type="http://schemas.openxmlformats.org/officeDocument/2006/relationships/hyperlink" Target="http://www.xvmanager.fr/ClubHouse.php?page=equipe_effectif.php&amp;name=33b8eea9895c78e1346bedba7a07f552" TargetMode="External" /><Relationship Id="rId6" Type="http://schemas.openxmlformats.org/officeDocument/2006/relationships/hyperlink" Target="http://www.xvmanager.fr/ClubHouse.php?page=equipe_effectif.php&amp;name=33b8eea9895c78e1346bedba7a07f552" TargetMode="External" /><Relationship Id="rId7" Type="http://schemas.openxmlformats.org/officeDocument/2006/relationships/hyperlink" Target="http://www.xvmanager.fr/ClubHouse.php?page=equipe_effectif.php&amp;name=33b8eea9895c78e1346bedba7a07f552" TargetMode="External" /><Relationship Id="rId8" Type="http://schemas.openxmlformats.org/officeDocument/2006/relationships/hyperlink" Target="http://www.xvmanager.fr/ClubHouse.php?page=equipe_effectif.php&amp;name=33b8eea9895c78e1346bedba7a07f552" TargetMode="External" /><Relationship Id="rId9" Type="http://schemas.openxmlformats.org/officeDocument/2006/relationships/hyperlink" Target="http://www.xvmanager.fr/ClubHouse.php?page=equipe_effectif.php&amp;name=33b8eea9895c78e1346bedba7a07f552" TargetMode="External" /><Relationship Id="rId10" Type="http://schemas.openxmlformats.org/officeDocument/2006/relationships/hyperlink" Target="http://www.xvmanager.fr/ClubHouse.php?page=equipe_effectif.php&amp;name=33b8eea9895c78e1346bedba7a07f552" TargetMode="External" /><Relationship Id="rId11" Type="http://schemas.openxmlformats.org/officeDocument/2006/relationships/hyperlink" Target="http://www.xvmanager.fr/ClubHouse.php?page=equipe_effectif.php&amp;name=33b8eea9895c78e1346bedba7a07f552" TargetMode="External" /><Relationship Id="rId12" Type="http://schemas.openxmlformats.org/officeDocument/2006/relationships/hyperlink" Target="http://www.xvmanager.fr/ClubHouse.php?page=equipe_effectif.php&amp;name=33b8eea9895c78e1346bedba7a07f552" TargetMode="External" /><Relationship Id="rId13" Type="http://schemas.openxmlformats.org/officeDocument/2006/relationships/hyperlink" Target="http://www.xvmanager.fr/ClubHouse.php?page=equipe_effectif.php&amp;name=33b8eea9895c78e1346bedba7a07f552" TargetMode="External" /><Relationship Id="rId14" Type="http://schemas.openxmlformats.org/officeDocument/2006/relationships/hyperlink" Target="http://www.xvmanager.fr/ClubHouse.php?page=equipe_effectif.php&amp;name=33b8eea9895c78e1346bedba7a07f552" TargetMode="External" /><Relationship Id="rId15" Type="http://schemas.openxmlformats.org/officeDocument/2006/relationships/hyperlink" Target="http://www.xvmanager.fr/ClubHouse.php?page=equipe_effectif.php&amp;name=33b8eea9895c78e1346bedba7a07f552" TargetMode="External" /><Relationship Id="rId16" Type="http://schemas.openxmlformats.org/officeDocument/2006/relationships/hyperlink" Target="http://www.xvmanager.fr/ClubHouse.php?page=equipe_effectif.php&amp;name=33b8eea9895c78e1346bedba7a07f552" TargetMode="External" /><Relationship Id="rId17" Type="http://schemas.openxmlformats.org/officeDocument/2006/relationships/hyperlink" Target="http://www.xvmanager.fr/ClubHouse.php?page=equipe_effectif.php&amp;name=33b8eea9895c78e1346bedba7a07f552" TargetMode="External" /><Relationship Id="rId18" Type="http://schemas.openxmlformats.org/officeDocument/2006/relationships/hyperlink" Target="http://www.xvmanager.fr/ClubHouse.php?page=equipe_effectif.php&amp;name=33b8eea9895c78e1346bedba7a07f552" TargetMode="External" /><Relationship Id="rId19" Type="http://schemas.openxmlformats.org/officeDocument/2006/relationships/hyperlink" Target="http://www.xvmanager.fr/ClubHouse.php?page=equipe_effectif.php&amp;name=33b8eea9895c78e1346bedba7a07f552" TargetMode="External" /><Relationship Id="rId20" Type="http://schemas.openxmlformats.org/officeDocument/2006/relationships/hyperlink" Target="http://www.xvmanager.fr/ClubHouse.php?page=equipe_effectif.php&amp;name=33b8eea9895c78e1346bedba7a07f552" TargetMode="External" /><Relationship Id="rId21" Type="http://schemas.openxmlformats.org/officeDocument/2006/relationships/hyperlink" Target="http://www.xvmanager.fr/ClubHouse.php?page=equipe_effectif.php&amp;name=33b8eea9895c78e1346bedba7a07f552" TargetMode="External" /><Relationship Id="rId22" Type="http://schemas.openxmlformats.org/officeDocument/2006/relationships/hyperlink" Target="http://www.xvmanager.fr/ClubHouse.php?page=equipe_effectif.php&amp;name=33b8eea9895c78e1346bedba7a07f552" TargetMode="External" /><Relationship Id="rId23" Type="http://schemas.openxmlformats.org/officeDocument/2006/relationships/hyperlink" Target="http://www.xvmanager.fr/ClubHouse.php?page=equipe_effectif.php&amp;name=33b8eea9895c78e1346bedba7a07f552" TargetMode="External" /><Relationship Id="rId24" Type="http://schemas.openxmlformats.org/officeDocument/2006/relationships/hyperlink" Target="http://www.xvmanager.fr/ClubHouse.php?page=equipe_effectif.php&amp;name=33b8eea9895c78e1346bedba7a07f552" TargetMode="External" /><Relationship Id="rId25" Type="http://schemas.openxmlformats.org/officeDocument/2006/relationships/hyperlink" Target="http://www.xvmanager.fr/ClubHouse.php?page=equipe_effectif.php&amp;name=33b8eea9895c78e1346bedba7a07f552" TargetMode="External" /><Relationship Id="rId26" Type="http://schemas.openxmlformats.org/officeDocument/2006/relationships/hyperlink" Target="http://www.xvmanager.fr/ClubHouse.php?page=equipe_effectif.php&amp;name=33b8eea9895c78e1346bedba7a07f552" TargetMode="External" /><Relationship Id="rId27" Type="http://schemas.openxmlformats.org/officeDocument/2006/relationships/hyperlink" Target="http://www.xvmanager.fr/ClubHouse.php?page=equipe_effectif.php&amp;name=33b8eea9895c78e1346bedba7a07f552" TargetMode="External" /><Relationship Id="rId28" Type="http://schemas.openxmlformats.org/officeDocument/2006/relationships/hyperlink" Target="http://www.xvmanager.fr/ClubHouse.php?page=equipe_effectif.php&amp;name=33b8eea9895c78e1346bedba7a07f552" TargetMode="External" /><Relationship Id="rId29" Type="http://schemas.openxmlformats.org/officeDocument/2006/relationships/hyperlink" Target="http://www.xvmanager.fr/ClubHouse.php?page=equipe_effectif.php&amp;name=33b8eea9895c78e1346bedba7a07f552" TargetMode="External" /><Relationship Id="rId30" Type="http://schemas.openxmlformats.org/officeDocument/2006/relationships/hyperlink" Target="http://www.xvmanager.fr/ClubHouse.php?page=equipe_effectif.php&amp;name=33b8eea9895c78e1346bedba7a07f552" TargetMode="External" /><Relationship Id="rId31" Type="http://schemas.openxmlformats.org/officeDocument/2006/relationships/hyperlink" Target="http://www.xvmanager.fr/ClubHouse.php?page=equipe_effectif.php&amp;name=33b8eea9895c78e1346bedba7a07f552" TargetMode="External" /><Relationship Id="rId32" Type="http://schemas.openxmlformats.org/officeDocument/2006/relationships/hyperlink" Target="http://www.xvmanager.fr/ClubHouse.php?page=equipe_effectif.php&amp;name=33b8eea9895c78e1346bedba7a07f552" TargetMode="External" /><Relationship Id="rId33" Type="http://schemas.openxmlformats.org/officeDocument/2006/relationships/hyperlink" Target="http://www.xvmanager.fr/ClubHouse.php?page=equipe_effectif.php&amp;name=33b8eea9895c78e1346bedba7a07f552" TargetMode="External" /><Relationship Id="rId34" Type="http://schemas.openxmlformats.org/officeDocument/2006/relationships/hyperlink" Target="http://www.xvmanager.fr/ClubHouse.php?page=equipe_effectif.php&amp;name=33b8eea9895c78e1346bedba7a07f552" TargetMode="External" /><Relationship Id="rId35" Type="http://schemas.openxmlformats.org/officeDocument/2006/relationships/vmlDrawing" Target="../drawings/vmlDrawing1.vml" /><Relationship Id="rId3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vmanager.fr/ClubHouse.php?page=equipe_effectif.php&amp;name=59760636f0c8f28b161cbc669492aee4" TargetMode="External" /><Relationship Id="rId2" Type="http://schemas.openxmlformats.org/officeDocument/2006/relationships/hyperlink" Target="http://www.xvmanager.fr/ClubHouse.php?page=equipe_effectif.php&amp;name=59760636f0c8f28b161cbc669492aee4" TargetMode="External" /><Relationship Id="rId3" Type="http://schemas.openxmlformats.org/officeDocument/2006/relationships/hyperlink" Target="http://www.xvmanager.fr/ClubHouse.php?page=equipe_effectif.php&amp;name=33b8eea9895c78e1346bedba7a07f552" TargetMode="External" /><Relationship Id="rId4" Type="http://schemas.openxmlformats.org/officeDocument/2006/relationships/hyperlink" Target="http://www.xvmanager.fr/ClubHouse.php?page=equipe_effectif.php&amp;name=33b8eea9895c78e1346bedba7a07f552" TargetMode="External" /><Relationship Id="rId5" Type="http://schemas.openxmlformats.org/officeDocument/2006/relationships/hyperlink" Target="http://www.xvmanager.fr/ClubHouse.php?page=equipe_effectif.php&amp;name=33b8eea9895c78e1346bedba7a07f552" TargetMode="External" /><Relationship Id="rId6" Type="http://schemas.openxmlformats.org/officeDocument/2006/relationships/hyperlink" Target="http://www.xvmanager.fr/ClubHouse.php?page=equipe_effectif.php&amp;name=33b8eea9895c78e1346bedba7a07f552" TargetMode="External" /><Relationship Id="rId7" Type="http://schemas.openxmlformats.org/officeDocument/2006/relationships/hyperlink" Target="http://www.xvmanager.fr/ClubHouse.php?page=equipe_effectif.php&amp;name=33b8eea9895c78e1346bedba7a07f552" TargetMode="External" /><Relationship Id="rId8" Type="http://schemas.openxmlformats.org/officeDocument/2006/relationships/hyperlink" Target="http://www.xvmanager.fr/ClubHouse.php?page=equipe_effectif.php&amp;name=33b8eea9895c78e1346bedba7a07f552" TargetMode="External" /><Relationship Id="rId9" Type="http://schemas.openxmlformats.org/officeDocument/2006/relationships/hyperlink" Target="http://www.xvmanager.fr/ClubHouse.php?page=equipe_effectif.php&amp;name=33b8eea9895c78e1346bedba7a07f552" TargetMode="External" /><Relationship Id="rId10" Type="http://schemas.openxmlformats.org/officeDocument/2006/relationships/hyperlink" Target="http://www.xvmanager.fr/ClubHouse.php?page=equipe_effectif.php&amp;name=33b8eea9895c78e1346bedba7a07f552" TargetMode="External" /><Relationship Id="rId11" Type="http://schemas.openxmlformats.org/officeDocument/2006/relationships/hyperlink" Target="http://www.xvmanager.fr/ClubHouse.php?page=equipe_effectif.php&amp;name=33b8eea9895c78e1346bedba7a07f552" TargetMode="External" /><Relationship Id="rId12" Type="http://schemas.openxmlformats.org/officeDocument/2006/relationships/hyperlink" Target="http://www.xvmanager.fr/ClubHouse.php?page=equipe_effectif.php&amp;name=33b8eea9895c78e1346bedba7a07f552" TargetMode="External" /><Relationship Id="rId13" Type="http://schemas.openxmlformats.org/officeDocument/2006/relationships/hyperlink" Target="http://www.xvmanager.fr/ClubHouse.php?page=equipe_effectif.php&amp;name=33b8eea9895c78e1346bedba7a07f552" TargetMode="External" /><Relationship Id="rId14" Type="http://schemas.openxmlformats.org/officeDocument/2006/relationships/hyperlink" Target="http://www.xvmanager.fr/ClubHouse.php?page=equipe_effectif.php&amp;name=33b8eea9895c78e1346bedba7a07f552" TargetMode="External" /><Relationship Id="rId15" Type="http://schemas.openxmlformats.org/officeDocument/2006/relationships/hyperlink" Target="http://www.xvmanager.fr/ClubHouse.php?page=equipe_effectif.php&amp;name=33b8eea9895c78e1346bedba7a07f552" TargetMode="External" /><Relationship Id="rId16" Type="http://schemas.openxmlformats.org/officeDocument/2006/relationships/hyperlink" Target="http://www.xvmanager.fr/ClubHouse.php?page=equipe_effectif.php&amp;name=33b8eea9895c78e1346bedba7a07f552" TargetMode="External" /><Relationship Id="rId17" Type="http://schemas.openxmlformats.org/officeDocument/2006/relationships/hyperlink" Target="http://www.xvmanager.fr/ClubHouse.php?page=equipe_effectif.php&amp;name=33b8eea9895c78e1346bedba7a07f552" TargetMode="External" /><Relationship Id="rId18" Type="http://schemas.openxmlformats.org/officeDocument/2006/relationships/vmlDrawing" Target="../drawings/vmlDrawing2.vm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1manager.com/ClubHouse.php?page=equipe_effectif.php&amp;name=e2a921a33c4b4a4450deb681e4d3528a" TargetMode="External" /><Relationship Id="rId2" Type="http://schemas.openxmlformats.org/officeDocument/2006/relationships/hyperlink" Target="http://www.11manager.com/ClubHouse.php?page=equipe_effectif.php&amp;name=e2a921a33c4b4a4450deb681e4d3528a" TargetMode="External" /><Relationship Id="rId3" Type="http://schemas.openxmlformats.org/officeDocument/2006/relationships/hyperlink" Target="http://www.11manager.com/ClubHouse.php?page=equipe_effectif.php&amp;name=e2a921a33c4b4a4450deb681e4d3528a" TargetMode="External" /><Relationship Id="rId4" Type="http://schemas.openxmlformats.org/officeDocument/2006/relationships/hyperlink" Target="http://www.11manager.com/ClubHouse.php?page=equipe_effectif.php&amp;name=e2a921a33c4b4a4450deb681e4d3528a" TargetMode="External" /><Relationship Id="rId5" Type="http://schemas.openxmlformats.org/officeDocument/2006/relationships/hyperlink" Target="http://www.11manager.com/ClubHouse.php?page=equipe_effectif.php&amp;name=e2a921a33c4b4a4450deb681e4d3528a" TargetMode="External" /><Relationship Id="rId6" Type="http://schemas.openxmlformats.org/officeDocument/2006/relationships/hyperlink" Target="http://www.11manager.com/ClubHouse.php?page=equipe_effectif.php&amp;name=e2a921a33c4b4a4450deb681e4d3528a" TargetMode="External" /><Relationship Id="rId7" Type="http://schemas.openxmlformats.org/officeDocument/2006/relationships/hyperlink" Target="http://www.11manager.com/ClubHouse.php?page=equipe_effectif.php&amp;name=e2a921a33c4b4a4450deb681e4d3528a" TargetMode="External" /><Relationship Id="rId8" Type="http://schemas.openxmlformats.org/officeDocument/2006/relationships/hyperlink" Target="http://www.11manager.com/ClubHouse.php?page=equipe_effectif.php&amp;name=e2a921a33c4b4a4450deb681e4d3528a" TargetMode="External" /><Relationship Id="rId9" Type="http://schemas.openxmlformats.org/officeDocument/2006/relationships/hyperlink" Target="http://www.11manager.com/ClubHouse.php?page=equipe_effectif.php&amp;name=e2a921a33c4b4a4450deb681e4d3528a" TargetMode="External" /><Relationship Id="rId10" Type="http://schemas.openxmlformats.org/officeDocument/2006/relationships/hyperlink" Target="http://www.11manager.com/ClubHouse.php?page=equipe_effectif.php&amp;name=e2a921a33c4b4a4450deb681e4d3528a" TargetMode="External" /><Relationship Id="rId11" Type="http://schemas.openxmlformats.org/officeDocument/2006/relationships/hyperlink" Target="http://www.11manager.com/ClubHouse.php?page=equipe_effectif.php&amp;name=e2a921a33c4b4a4450deb681e4d3528a" TargetMode="External" /><Relationship Id="rId12" Type="http://schemas.openxmlformats.org/officeDocument/2006/relationships/hyperlink" Target="http://www.11manager.com/ClubHouse.php?page=equipe_effectif.php&amp;name=e2a921a33c4b4a4450deb681e4d3528a" TargetMode="External" /><Relationship Id="rId13" Type="http://schemas.openxmlformats.org/officeDocument/2006/relationships/hyperlink" Target="http://www.11manager.com/ClubHouse.php?page=equipe_effectif.php&amp;name=e2a921a33c4b4a4450deb681e4d3528a" TargetMode="External" /><Relationship Id="rId14" Type="http://schemas.openxmlformats.org/officeDocument/2006/relationships/hyperlink" Target="http://www.11manager.com/ClubHouse.php?page=equipe_effectif.php&amp;name=e2a921a33c4b4a4450deb681e4d3528a" TargetMode="External" /><Relationship Id="rId15" Type="http://schemas.openxmlformats.org/officeDocument/2006/relationships/hyperlink" Target="http://www.11manager.com/ClubHouse.php?page=equipe_effectif.php&amp;name=e2a921a33c4b4a4450deb681e4d3528a" TargetMode="External" /><Relationship Id="rId16" Type="http://schemas.openxmlformats.org/officeDocument/2006/relationships/hyperlink" Target="http://www.11manager.com/ClubHouse.php?page=equipe_effectif.php&amp;name=e2a921a33c4b4a4450deb681e4d3528a" TargetMode="External" /><Relationship Id="rId17" Type="http://schemas.openxmlformats.org/officeDocument/2006/relationships/hyperlink" Target="http://www.11manager.com/ClubHouse.php?page=equipe_effectif.php&amp;name=e2a921a33c4b4a4450deb681e4d3528a" TargetMode="External" /><Relationship Id="rId18" Type="http://schemas.openxmlformats.org/officeDocument/2006/relationships/hyperlink" Target="http://www.11manager.com/ClubHouse.php?page=equipe_effectif.php&amp;name=e2a921a33c4b4a4450deb681e4d3528a" TargetMode="External" /><Relationship Id="rId19" Type="http://schemas.openxmlformats.org/officeDocument/2006/relationships/hyperlink" Target="http://www.11manager.com/ClubHouse.php?page=equipe_effectif.php&amp;name=e2a921a33c4b4a4450deb681e4d3528a" TargetMode="External" /><Relationship Id="rId20" Type="http://schemas.openxmlformats.org/officeDocument/2006/relationships/hyperlink" Target="http://www.11manager.com/ClubHouse.php?page=equipe_effectif.php&amp;name=e2a921a33c4b4a4450deb681e4d3528a" TargetMode="External" /><Relationship Id="rId21" Type="http://schemas.openxmlformats.org/officeDocument/2006/relationships/hyperlink" Target="http://www.11manager.com/ClubHouse.php?page=equipe_effectif.php&amp;name=e2a921a33c4b4a4450deb681e4d3528a" TargetMode="External" /><Relationship Id="rId22" Type="http://schemas.openxmlformats.org/officeDocument/2006/relationships/hyperlink" Target="http://www.11manager.com/ClubHouse.php?page=equipe_effectif.php&amp;name=e2a921a33c4b4a4450deb681e4d3528a" TargetMode="External" /><Relationship Id="rId23" Type="http://schemas.openxmlformats.org/officeDocument/2006/relationships/hyperlink" Target="http://www.11manager.com/ClubHouse.php?page=equipe_effectif.php&amp;name=e2a921a33c4b4a4450deb681e4d3528a" TargetMode="External" /><Relationship Id="rId24" Type="http://schemas.openxmlformats.org/officeDocument/2006/relationships/hyperlink" Target="http://www.11manager.com/ClubHouse.php?page=equipe_effectif.php&amp;name=e2a921a33c4b4a4450deb681e4d3528a" TargetMode="External" /><Relationship Id="rId25" Type="http://schemas.openxmlformats.org/officeDocument/2006/relationships/hyperlink" Target="http://www.11manager.com/ClubHouse.php?page=equipe_effectif.php&amp;name=e2a921a33c4b4a4450deb681e4d3528a" TargetMode="External" /><Relationship Id="rId26" Type="http://schemas.openxmlformats.org/officeDocument/2006/relationships/hyperlink" Target="http://www.11manager.com/ClubHouse.php?page=equipe_effectif.php&amp;name=e2a921a33c4b4a4450deb681e4d3528a" TargetMode="External" /><Relationship Id="rId27" Type="http://schemas.openxmlformats.org/officeDocument/2006/relationships/hyperlink" Target="http://www.11manager.com/ClubHouse.php?page=equipe_effectif.php&amp;name=e2a921a33c4b4a4450deb681e4d3528a" TargetMode="External" /><Relationship Id="rId28" Type="http://schemas.openxmlformats.org/officeDocument/2006/relationships/hyperlink" Target="http://www.11manager.com/ClubHouse.php?page=equipe_effectif.php&amp;name=e2a921a33c4b4a4450deb681e4d3528a" TargetMode="External" /><Relationship Id="rId29" Type="http://schemas.openxmlformats.org/officeDocument/2006/relationships/hyperlink" Target="http://www.11manager.com/ClubHouse.php?page=equipe_effectif.php&amp;name=e2a921a33c4b4a4450deb681e4d3528a" TargetMode="External" /><Relationship Id="rId30" Type="http://schemas.openxmlformats.org/officeDocument/2006/relationships/hyperlink" Target="http://www.11manager.com/ClubHouse.php?page=equipe_effectif.php&amp;name=e2a921a33c4b4a4450deb681e4d3528a" TargetMode="External" /><Relationship Id="rId31" Type="http://schemas.openxmlformats.org/officeDocument/2006/relationships/hyperlink" Target="http://www.11manager.com/ClubHouse.php?page=equipe_effectif.php&amp;name=e2a921a33c4b4a4450deb681e4d3528a" TargetMode="External" /><Relationship Id="rId32" Type="http://schemas.openxmlformats.org/officeDocument/2006/relationships/hyperlink" Target="http://www.11manager.com/ClubHouse.php?page=equipe_effectif.php&amp;name=e2a921a33c4b4a4450deb681e4d3528a" TargetMode="External" /><Relationship Id="rId33" Type="http://schemas.openxmlformats.org/officeDocument/2006/relationships/hyperlink" Target="http://www.11manager.com/ClubHouse.php?page=equipe_effectif.php&amp;name=e2a921a33c4b4a4450deb681e4d3528a" TargetMode="External" /><Relationship Id="rId34" Type="http://schemas.openxmlformats.org/officeDocument/2006/relationships/hyperlink" Target="http://www.11manager.com/ClubHouse.php?page=equipe_effectif.php&amp;name=e2a921a33c4b4a4450deb681e4d3528a" TargetMode="External" /><Relationship Id="rId35" Type="http://schemas.openxmlformats.org/officeDocument/2006/relationships/hyperlink" Target="http://www.11manager.com/ClubHouse.php?page=equipe_effectif.php&amp;name=e2a921a33c4b4a4450deb681e4d3528a" TargetMode="External" /><Relationship Id="rId36" Type="http://schemas.openxmlformats.org/officeDocument/2006/relationships/hyperlink" Target="http://www.11manager.com/ClubHouse.php?page=equipe_effectif.php&amp;name=e2a921a33c4b4a4450deb681e4d3528a" TargetMode="External" /><Relationship Id="rId37" Type="http://schemas.openxmlformats.org/officeDocument/2006/relationships/hyperlink" Target="http://www.11manager.com/ClubHouse.php?page=equipe_effectif.php&amp;name=e2a921a33c4b4a4450deb681e4d3528a" TargetMode="External" /><Relationship Id="rId38" Type="http://schemas.openxmlformats.org/officeDocument/2006/relationships/hyperlink" Target="http://www.11manager.com/ClubHouse.php?page=equipe_effectif.php&amp;name=e2a921a33c4b4a4450deb681e4d3528a" TargetMode="External" /><Relationship Id="rId39" Type="http://schemas.openxmlformats.org/officeDocument/2006/relationships/hyperlink" Target="http://www.11manager.com/ClubHouse.php?page=equipe_effectif.php&amp;name=e2a921a33c4b4a4450deb681e4d3528a" TargetMode="External" /><Relationship Id="rId40" Type="http://schemas.openxmlformats.org/officeDocument/2006/relationships/hyperlink" Target="http://www.11manager.com/ClubHouse.php?page=equipe_effectif.php&amp;name=e2a921a33c4b4a4450deb681e4d3528a" TargetMode="External" /><Relationship Id="rId41" Type="http://schemas.openxmlformats.org/officeDocument/2006/relationships/comments" Target="../comments3.xml" /><Relationship Id="rId42" Type="http://schemas.openxmlformats.org/officeDocument/2006/relationships/vmlDrawing" Target="../drawings/vmlDrawing3.vml" /><Relationship Id="rId4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11manager.com/ClubHouse.php?page=equipe_effectif.php&amp;name=e2a921a33c4b4a4450deb681e4d3528a" TargetMode="External" /><Relationship Id="rId2" Type="http://schemas.openxmlformats.org/officeDocument/2006/relationships/hyperlink" Target="http://www.11manager.com/ClubHouse.php?page=equipe_effectif.php&amp;name=e2a921a33c4b4a4450deb681e4d3528a" TargetMode="External" /><Relationship Id="rId3" Type="http://schemas.openxmlformats.org/officeDocument/2006/relationships/hyperlink" Target="http://www.11manager.com/ClubHouse.php?page=equipe_effectif.php&amp;name=e2a921a33c4b4a4450deb681e4d3528a" TargetMode="External" /><Relationship Id="rId4" Type="http://schemas.openxmlformats.org/officeDocument/2006/relationships/hyperlink" Target="http://www.11manager.com/ClubHouse.php?page=equipe_effectif.php&amp;name=e2a921a33c4b4a4450deb681e4d3528a" TargetMode="External" /><Relationship Id="rId5" Type="http://schemas.openxmlformats.org/officeDocument/2006/relationships/hyperlink" Target="http://www.11manager.com/ClubHouse.php?page=equipe_effectif.php&amp;name=e2a921a33c4b4a4450deb681e4d3528a" TargetMode="External" /><Relationship Id="rId6" Type="http://schemas.openxmlformats.org/officeDocument/2006/relationships/hyperlink" Target="http://www.11manager.com/ClubHouse.php?page=equipe_effectif.php&amp;name=e2a921a33c4b4a4450deb681e4d3528a" TargetMode="External" /><Relationship Id="rId7" Type="http://schemas.openxmlformats.org/officeDocument/2006/relationships/hyperlink" Target="http://www.11manager.com/ClubHouse.php?page=equipe_effectif.php&amp;name=e2a921a33c4b4a4450deb681e4d3528a" TargetMode="External" /><Relationship Id="rId8" Type="http://schemas.openxmlformats.org/officeDocument/2006/relationships/hyperlink" Target="http://www.11manager.com/ClubHouse.php?page=equipe_effectif.php&amp;name=e2a921a33c4b4a4450deb681e4d3528a" TargetMode="External" /><Relationship Id="rId9" Type="http://schemas.openxmlformats.org/officeDocument/2006/relationships/hyperlink" Target="http://www.11manager.com/ClubHouse.php?page=equipe_effectif.php&amp;name=e2a921a33c4b4a4450deb681e4d3528a" TargetMode="External" /><Relationship Id="rId10" Type="http://schemas.openxmlformats.org/officeDocument/2006/relationships/hyperlink" Target="http://www.11manager.com/ClubHouse.php?page=equipe_effectif.php&amp;name=e2a921a33c4b4a4450deb681e4d3528a" TargetMode="External" /><Relationship Id="rId11" Type="http://schemas.openxmlformats.org/officeDocument/2006/relationships/hyperlink" Target="http://www.11manager.com/ClubHouse.php?page=equipe_effectif.php&amp;name=e2a921a33c4b4a4450deb681e4d3528a" TargetMode="External" /><Relationship Id="rId12" Type="http://schemas.openxmlformats.org/officeDocument/2006/relationships/hyperlink" Target="http://www.11manager.com/ClubHouse.php?page=equipe_effectif.php&amp;name=e2a921a33c4b4a4450deb681e4d3528a" TargetMode="External" /><Relationship Id="rId13" Type="http://schemas.openxmlformats.org/officeDocument/2006/relationships/hyperlink" Target="http://www.11manager.com/ClubHouse.php?page=equipe_effectif.php&amp;name=e2a921a33c4b4a4450deb681e4d3528a" TargetMode="External" /><Relationship Id="rId14" Type="http://schemas.openxmlformats.org/officeDocument/2006/relationships/hyperlink" Target="http://www.11manager.com/ClubHouse.php?page=equipe_effectif.php&amp;name=e2a921a33c4b4a4450deb681e4d3528a" TargetMode="External" /><Relationship Id="rId15" Type="http://schemas.openxmlformats.org/officeDocument/2006/relationships/hyperlink" Target="http://www.11manager.com/ClubHouse.php?page=equipe_effectif.php&amp;name=e2a921a33c4b4a4450deb681e4d3528a" TargetMode="External" /><Relationship Id="rId16" Type="http://schemas.openxmlformats.org/officeDocument/2006/relationships/hyperlink" Target="http://www.11manager.com/ClubHouse.php?page=equipe_effectif.php&amp;name=e2a921a33c4b4a4450deb681e4d3528a" TargetMode="External" /><Relationship Id="rId17" Type="http://schemas.openxmlformats.org/officeDocument/2006/relationships/hyperlink" Target="http://www.11manager.com/ClubHouse.php?page=equipe_effectif.php&amp;name=e2a921a33c4b4a4450deb681e4d3528a" TargetMode="External" /><Relationship Id="rId18" Type="http://schemas.openxmlformats.org/officeDocument/2006/relationships/hyperlink" Target="http://www.11manager.com/ClubHouse.php?page=equipe_effectif.php&amp;name=e2a921a33c4b4a4450deb681e4d3528a" TargetMode="External" /><Relationship Id="rId19" Type="http://schemas.openxmlformats.org/officeDocument/2006/relationships/hyperlink" Target="http://www.11manager.com/ClubHouse.php?page=equipe_effectif.php&amp;name=e2a921a33c4b4a4450deb681e4d3528a" TargetMode="External" /><Relationship Id="rId20" Type="http://schemas.openxmlformats.org/officeDocument/2006/relationships/hyperlink" Target="http://www.11manager.com/ClubHouse.php?page=equipe_effectif.php&amp;name=e2a921a33c4b4a4450deb681e4d3528a" TargetMode="External" /><Relationship Id="rId21" Type="http://schemas.openxmlformats.org/officeDocument/2006/relationships/comments" Target="../comments4.xml" /><Relationship Id="rId22" Type="http://schemas.openxmlformats.org/officeDocument/2006/relationships/vmlDrawing" Target="../drawings/vmlDrawing4.vml" /><Relationship Id="rId2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5manager.com/ClubHouse.php?page=equipe_effectif.php&amp;name=2b733ae502f6f2d0034e71642f4b6f73" TargetMode="External" /><Relationship Id="rId2" Type="http://schemas.openxmlformats.org/officeDocument/2006/relationships/hyperlink" Target="http://www.5manager.com/ClubHouse.php?page=equipe_effectif.php&amp;name=2b733ae502f6f2d0034e71642f4b6f73" TargetMode="External" /><Relationship Id="rId3" Type="http://schemas.openxmlformats.org/officeDocument/2006/relationships/hyperlink" Target="http://www.5manager.com/ClubHouse.php?page=equipe_effectif.php&amp;name=2b733ae502f6f2d0034e71642f4b6f73" TargetMode="External" /><Relationship Id="rId4" Type="http://schemas.openxmlformats.org/officeDocument/2006/relationships/hyperlink" Target="http://www.5manager.com/ClubHouse.php?page=equipe_effectif.php&amp;name=2b733ae502f6f2d0034e71642f4b6f73" TargetMode="External" /><Relationship Id="rId5" Type="http://schemas.openxmlformats.org/officeDocument/2006/relationships/hyperlink" Target="http://www.5manager.com/ClubHouse.php?page=equipe_effectif.php&amp;name=2b733ae502f6f2d0034e71642f4b6f73" TargetMode="External" /><Relationship Id="rId6" Type="http://schemas.openxmlformats.org/officeDocument/2006/relationships/hyperlink" Target="http://www.5manager.com/ClubHouse.php?page=equipe_effectif.php&amp;name=2b733ae502f6f2d0034e71642f4b6f73" TargetMode="External" /><Relationship Id="rId7" Type="http://schemas.openxmlformats.org/officeDocument/2006/relationships/hyperlink" Target="http://www.5manager.com/ClubHouse.php?page=equipe_effectif.php&amp;name=2b733ae502f6f2d0034e71642f4b6f73" TargetMode="External" /><Relationship Id="rId8" Type="http://schemas.openxmlformats.org/officeDocument/2006/relationships/hyperlink" Target="http://www.5manager.com/ClubHouse.php?page=equipe_effectif.php&amp;name=2b733ae502f6f2d0034e71642f4b6f73" TargetMode="External" /><Relationship Id="rId9" Type="http://schemas.openxmlformats.org/officeDocument/2006/relationships/hyperlink" Target="http://www.5manager.com/ClubHouse.php?page=equipe_effectif.php&amp;name=2b733ae502f6f2d0034e71642f4b6f73" TargetMode="External" /><Relationship Id="rId10" Type="http://schemas.openxmlformats.org/officeDocument/2006/relationships/hyperlink" Target="http://www.5manager.com/ClubHouse.php?page=equipe_effectif.php&amp;name=2b733ae502f6f2d0034e71642f4b6f73" TargetMode="External" /><Relationship Id="rId11" Type="http://schemas.openxmlformats.org/officeDocument/2006/relationships/hyperlink" Target="http://www.5manager.com/ClubHouse.php?page=equipe_effectif.php&amp;name=2b733ae502f6f2d0034e71642f4b6f73" TargetMode="External" /><Relationship Id="rId12" Type="http://schemas.openxmlformats.org/officeDocument/2006/relationships/hyperlink" Target="http://www.5manager.com/ClubHouse.php?page=equipe_effectif.php&amp;name=2b733ae502f6f2d0034e71642f4b6f73" TargetMode="External" /><Relationship Id="rId13" Type="http://schemas.openxmlformats.org/officeDocument/2006/relationships/hyperlink" Target="http://www.5manager.com/ClubHouse.php?page=equipe_effectif.php&amp;name=2b733ae502f6f2d0034e71642f4b6f73" TargetMode="External" /><Relationship Id="rId14" Type="http://schemas.openxmlformats.org/officeDocument/2006/relationships/hyperlink" Target="http://www.5manager.com/ClubHouse.php?page=equipe_effectif.php&amp;name=2b733ae502f6f2d0034e71642f4b6f73" TargetMode="External" /><Relationship Id="rId15" Type="http://schemas.openxmlformats.org/officeDocument/2006/relationships/hyperlink" Target="http://www.5manager.com/ClubHouse.php?page=equipe_effectif.php&amp;name=2b733ae502f6f2d0034e71642f4b6f73" TargetMode="External" /><Relationship Id="rId16" Type="http://schemas.openxmlformats.org/officeDocument/2006/relationships/hyperlink" Target="http://www.5manager.com/ClubHouse.php?page=equipe_effectif.php&amp;name=2b733ae502f6f2d0034e71642f4b6f73" TargetMode="External" /><Relationship Id="rId17" Type="http://schemas.openxmlformats.org/officeDocument/2006/relationships/hyperlink" Target="http://www.5manager.com/ClubHouse.php?page=equipe_effectif.php&amp;name=2b733ae502f6f2d0034e71642f4b6f73" TargetMode="External" /><Relationship Id="rId18" Type="http://schemas.openxmlformats.org/officeDocument/2006/relationships/hyperlink" Target="http://www.5manager.com/ClubHouse.php?page=equipe_effectif.php&amp;name=2b733ae502f6f2d0034e71642f4b6f73" TargetMode="External" /><Relationship Id="rId19" Type="http://schemas.openxmlformats.org/officeDocument/2006/relationships/vmlDrawing" Target="../drawings/vmlDrawing5.vml" /><Relationship Id="rId2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5manager.com/ClubHouse.php?page=equipe_effectif.php&amp;name=2b733ae502f6f2d0034e71642f4b6f73" TargetMode="External" /><Relationship Id="rId2" Type="http://schemas.openxmlformats.org/officeDocument/2006/relationships/hyperlink" Target="http://www.5manager.com/ClubHouse.php?page=equipe_effectif.php&amp;name=2b733ae502f6f2d0034e71642f4b6f73" TargetMode="External" /><Relationship Id="rId3" Type="http://schemas.openxmlformats.org/officeDocument/2006/relationships/hyperlink" Target="http://www.5manager.com/ClubHouse.php?page=equipe_effectif.php&amp;name=2b733ae502f6f2d0034e71642f4b6f73" TargetMode="External" /><Relationship Id="rId4" Type="http://schemas.openxmlformats.org/officeDocument/2006/relationships/hyperlink" Target="http://www.5manager.com/ClubHouse.php?page=equipe_effectif.php&amp;name=2b733ae502f6f2d0034e71642f4b6f73" TargetMode="External" /><Relationship Id="rId5" Type="http://schemas.openxmlformats.org/officeDocument/2006/relationships/hyperlink" Target="http://www.5manager.com/ClubHouse.php?page=equipe_effectif.php&amp;name=2b733ae502f6f2d0034e71642f4b6f73" TargetMode="External" /><Relationship Id="rId6" Type="http://schemas.openxmlformats.org/officeDocument/2006/relationships/hyperlink" Target="http://www.5manager.com/ClubHouse.php?page=equipe_effectif.php&amp;name=2b733ae502f6f2d0034e71642f4b6f73" TargetMode="External" /><Relationship Id="rId7" Type="http://schemas.openxmlformats.org/officeDocument/2006/relationships/hyperlink" Target="http://www.5manager.com/ClubHouse.php?page=equipe_effectif.php&amp;name=2b733ae502f6f2d0034e71642f4b6f73" TargetMode="External" /><Relationship Id="rId8" Type="http://schemas.openxmlformats.org/officeDocument/2006/relationships/hyperlink" Target="http://www.5manager.com/ClubHouse.php?page=equipe_effectif.php&amp;name=2b733ae502f6f2d0034e71642f4b6f73" TargetMode="External" /><Relationship Id="rId9" Type="http://schemas.openxmlformats.org/officeDocument/2006/relationships/hyperlink" Target="http://www.5manager.com/ClubHouse.php?page=equipe_effectif.php&amp;name=2b733ae502f6f2d0034e71642f4b6f73" TargetMode="External" /><Relationship Id="rId10" Type="http://schemas.openxmlformats.org/officeDocument/2006/relationships/hyperlink" Target="http://www.5manager.com/ClubHouse.php?page=equipe_effectif.php&amp;name=2b733ae502f6f2d0034e71642f4b6f73" TargetMode="External" /><Relationship Id="rId11" Type="http://schemas.openxmlformats.org/officeDocument/2006/relationships/hyperlink" Target="http://www.5manager.com/ClubHouse.php?page=equipe_effectif.php&amp;name=2b733ae502f6f2d0034e71642f4b6f73" TargetMode="External" /><Relationship Id="rId12" Type="http://schemas.openxmlformats.org/officeDocument/2006/relationships/hyperlink" Target="http://www.5manager.com/ClubHouse.php?page=equipe_effectif.php&amp;name=2b733ae502f6f2d0034e71642f4b6f73" TargetMode="External" /><Relationship Id="rId13" Type="http://schemas.openxmlformats.org/officeDocument/2006/relationships/hyperlink" Target="http://www.5manager.com/ClubHouse.php?page=equipe_effectif.php&amp;name=2b733ae502f6f2d0034e71642f4b6f73" TargetMode="External" /><Relationship Id="rId14" Type="http://schemas.openxmlformats.org/officeDocument/2006/relationships/hyperlink" Target="http://www.5manager.com/ClubHouse.php?page=equipe_effectif.php&amp;name=2b733ae502f6f2d0034e71642f4b6f73" TargetMode="External" /><Relationship Id="rId15" Type="http://schemas.openxmlformats.org/officeDocument/2006/relationships/hyperlink" Target="http://www.5manager.com/ClubHouse.php?page=equipe_effectif.php&amp;name=2b733ae502f6f2d0034e71642f4b6f73" TargetMode="External" /><Relationship Id="rId16" Type="http://schemas.openxmlformats.org/officeDocument/2006/relationships/hyperlink" Target="http://www.5manager.com/ClubHouse.php?page=equipe_effectif.php&amp;name=2b733ae502f6f2d0034e71642f4b6f73" TargetMode="External" /><Relationship Id="rId17" Type="http://schemas.openxmlformats.org/officeDocument/2006/relationships/hyperlink" Target="http://www.5manager.com/ClubHouse.php?page=equipe_effectif.php&amp;name=2b733ae502f6f2d0034e71642f4b6f73" TargetMode="External" /><Relationship Id="rId18" Type="http://schemas.openxmlformats.org/officeDocument/2006/relationships/hyperlink" Target="http://www.5manager.com/ClubHouse.php?page=equipe_effectif.php&amp;name=2b733ae502f6f2d0034e71642f4b6f73" TargetMode="External" /><Relationship Id="rId19" Type="http://schemas.openxmlformats.org/officeDocument/2006/relationships/vmlDrawing" Target="../drawings/vmlDrawing6.vml" /><Relationship Id="rId20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5manager.com/ClubHouse.php?page=equipe_effectif.php&amp;name=2b733ae502f6f2d0034e71642f4b6f73" TargetMode="External" /><Relationship Id="rId2" Type="http://schemas.openxmlformats.org/officeDocument/2006/relationships/hyperlink" Target="http://www.5manager.com/ClubHouse.php?page=equipe_effectif.php&amp;name=2b733ae502f6f2d0034e71642f4b6f73" TargetMode="External" /><Relationship Id="rId3" Type="http://schemas.openxmlformats.org/officeDocument/2006/relationships/hyperlink" Target="http://www.5manager.com/ClubHouse.php?page=equipe_effectif.php&amp;name=2b733ae502f6f2d0034e71642f4b6f73" TargetMode="External" /><Relationship Id="rId4" Type="http://schemas.openxmlformats.org/officeDocument/2006/relationships/hyperlink" Target="http://www.5manager.com/ClubHouse.php?page=equipe_effectif.php&amp;name=2b733ae502f6f2d0034e71642f4b6f73" TargetMode="External" /><Relationship Id="rId5" Type="http://schemas.openxmlformats.org/officeDocument/2006/relationships/hyperlink" Target="http://www.5manager.com/ClubHouse.php?page=equipe_effectif.php&amp;name=2b733ae502f6f2d0034e71642f4b6f73" TargetMode="External" /><Relationship Id="rId6" Type="http://schemas.openxmlformats.org/officeDocument/2006/relationships/hyperlink" Target="http://www.5manager.com/ClubHouse.php?page=equipe_effectif.php&amp;name=2b733ae502f6f2d0034e71642f4b6f73" TargetMode="External" /><Relationship Id="rId7" Type="http://schemas.openxmlformats.org/officeDocument/2006/relationships/hyperlink" Target="http://www.5manager.com/ClubHouse.php?page=equipe_effectif.php&amp;name=2b733ae502f6f2d0034e71642f4b6f73" TargetMode="External" /><Relationship Id="rId8" Type="http://schemas.openxmlformats.org/officeDocument/2006/relationships/hyperlink" Target="http://www.5manager.com/ClubHouse.php?page=equipe_effectif.php&amp;name=2b733ae502f6f2d0034e71642f4b6f73" TargetMode="External" /><Relationship Id="rId9" Type="http://schemas.openxmlformats.org/officeDocument/2006/relationships/hyperlink" Target="http://www.5manager.com/ClubHouse.php?page=equipe_effectif.php&amp;name=2b733ae502f6f2d0034e71642f4b6f73" TargetMode="External" /><Relationship Id="rId10" Type="http://schemas.openxmlformats.org/officeDocument/2006/relationships/hyperlink" Target="http://www.5manager.com/ClubHouse.php?page=equipe_effectif.php&amp;name=2b733ae502f6f2d0034e71642f4b6f73" TargetMode="External" /><Relationship Id="rId11" Type="http://schemas.openxmlformats.org/officeDocument/2006/relationships/hyperlink" Target="http://www.5manager.com/ClubHouse.php?page=equipe_effectif.php&amp;name=2b733ae502f6f2d0034e71642f4b6f73" TargetMode="External" /><Relationship Id="rId12" Type="http://schemas.openxmlformats.org/officeDocument/2006/relationships/hyperlink" Target="http://www.5manager.com/ClubHouse.php?page=equipe_effectif.php&amp;name=2b733ae502f6f2d0034e71642f4b6f73" TargetMode="External" /><Relationship Id="rId13" Type="http://schemas.openxmlformats.org/officeDocument/2006/relationships/hyperlink" Target="http://www.5manager.com/ClubHouse.php?page=equipe_effectif.php&amp;name=2b733ae502f6f2d0034e71642f4b6f73" TargetMode="External" /><Relationship Id="rId14" Type="http://schemas.openxmlformats.org/officeDocument/2006/relationships/hyperlink" Target="http://www.5manager.com/ClubHouse.php?page=equipe_effectif.php&amp;name=2b733ae502f6f2d0034e71642f4b6f73" TargetMode="External" /><Relationship Id="rId15" Type="http://schemas.openxmlformats.org/officeDocument/2006/relationships/hyperlink" Target="http://www.5manager.com/ClubHouse.php?page=equipe_effectif.php&amp;name=2b733ae502f6f2d0034e71642f4b6f73" TargetMode="External" /><Relationship Id="rId16" Type="http://schemas.openxmlformats.org/officeDocument/2006/relationships/hyperlink" Target="http://www.5manager.com/ClubHouse.php?page=equipe_effectif.php&amp;name=2b733ae502f6f2d0034e71642f4b6f73" TargetMode="External" /><Relationship Id="rId17" Type="http://schemas.openxmlformats.org/officeDocument/2006/relationships/hyperlink" Target="http://www.5manager.com/ClubHouse.php?page=equipe_effectif.php&amp;name=2b733ae502f6f2d0034e71642f4b6f73" TargetMode="External" /><Relationship Id="rId18" Type="http://schemas.openxmlformats.org/officeDocument/2006/relationships/hyperlink" Target="http://www.5manager.com/ClubHouse.php?page=equipe_effectif.php&amp;name=2b733ae502f6f2d0034e71642f4b6f73" TargetMode="External" /><Relationship Id="rId19" Type="http://schemas.openxmlformats.org/officeDocument/2006/relationships/hyperlink" Target="http://www.handmanager.com/ClubHouse.php?page=equipe_effectif.php&amp;name=09901c3b2379d481b29cff4dbf23f512" TargetMode="External" /><Relationship Id="rId20" Type="http://schemas.openxmlformats.org/officeDocument/2006/relationships/hyperlink" Target="http://www.handmanager.com/ClubHouse.php?page=equipe_effectif.php&amp;name=09901c3b2379d481b29cff4dbf23f512" TargetMode="External" /><Relationship Id="rId21" Type="http://schemas.openxmlformats.org/officeDocument/2006/relationships/hyperlink" Target="http://www.handmanager.com/ClubHouse.php?page=equipe_effectif.php&amp;name=09901c3b2379d481b29cff4dbf23f512" TargetMode="External" /><Relationship Id="rId22" Type="http://schemas.openxmlformats.org/officeDocument/2006/relationships/hyperlink" Target="http://www.handmanager.com/ClubHouse.php?page=equipe_effectif.php&amp;name=09901c3b2379d481b29cff4dbf23f512" TargetMode="External" /><Relationship Id="rId23" Type="http://schemas.openxmlformats.org/officeDocument/2006/relationships/hyperlink" Target="http://www.handmanager.com/ClubHouse.php?page=equipe_effectif.php&amp;name=09901c3b2379d481b29cff4dbf23f512" TargetMode="External" /><Relationship Id="rId24" Type="http://schemas.openxmlformats.org/officeDocument/2006/relationships/hyperlink" Target="http://www.handmanager.com/ClubHouse.php?page=equipe_effectif.php&amp;name=09901c3b2379d481b29cff4dbf23f512" TargetMode="External" /><Relationship Id="rId25" Type="http://schemas.openxmlformats.org/officeDocument/2006/relationships/hyperlink" Target="http://www.handmanager.com/ClubHouse.php?page=equipe_effectif.php&amp;name=09901c3b2379d481b29cff4dbf23f512" TargetMode="External" /><Relationship Id="rId26" Type="http://schemas.openxmlformats.org/officeDocument/2006/relationships/hyperlink" Target="http://www.handmanager.com/ClubHouse.php?page=equipe_effectif.php&amp;name=09901c3b2379d481b29cff4dbf23f512" TargetMode="External" /><Relationship Id="rId27" Type="http://schemas.openxmlformats.org/officeDocument/2006/relationships/hyperlink" Target="http://www.handmanager.com/ClubHouse.php?page=equipe_effectif.php&amp;name=09901c3b2379d481b29cff4dbf23f512" TargetMode="External" /><Relationship Id="rId28" Type="http://schemas.openxmlformats.org/officeDocument/2006/relationships/hyperlink" Target="http://www.handmanager.com/ClubHouse.php?page=equipe_effectif.php&amp;name=09901c3b2379d481b29cff4dbf23f512" TargetMode="External" /><Relationship Id="rId29" Type="http://schemas.openxmlformats.org/officeDocument/2006/relationships/hyperlink" Target="http://www.handmanager.com/ClubHouse.php?page=equipe_effectif.php&amp;name=09901c3b2379d481b29cff4dbf23f512" TargetMode="External" /><Relationship Id="rId30" Type="http://schemas.openxmlformats.org/officeDocument/2006/relationships/hyperlink" Target="http://www.handmanager.com/ClubHouse.php?page=equipe_effectif.php&amp;name=09901c3b2379d481b29cff4dbf23f512" TargetMode="External" /><Relationship Id="rId31" Type="http://schemas.openxmlformats.org/officeDocument/2006/relationships/hyperlink" Target="http://www.handmanager.com/ClubHouse.php?page=equipe_effectif.php&amp;name=09901c3b2379d481b29cff4dbf23f512" TargetMode="External" /><Relationship Id="rId32" Type="http://schemas.openxmlformats.org/officeDocument/2006/relationships/hyperlink" Target="http://www.handmanager.com/ClubHouse.php?page=equipe_effectif.php&amp;name=09901c3b2379d481b29cff4dbf23f512" TargetMode="External" /><Relationship Id="rId33" Type="http://schemas.openxmlformats.org/officeDocument/2006/relationships/hyperlink" Target="http://www.handmanager.com/ClubHouse.php?page=equipe_effectif.php&amp;name=09901c3b2379d481b29cff4dbf23f512" TargetMode="External" /><Relationship Id="rId34" Type="http://schemas.openxmlformats.org/officeDocument/2006/relationships/hyperlink" Target="http://www.handmanager.com/ClubHouse.php?page=equipe_effectif.php&amp;name=09901c3b2379d481b29cff4dbf23f512" TargetMode="External" /><Relationship Id="rId35" Type="http://schemas.openxmlformats.org/officeDocument/2006/relationships/hyperlink" Target="http://www.handmanager.com/ClubHouse.php?page=equipe_effectif.php&amp;name=09901c3b2379d481b29cff4dbf23f512" TargetMode="External" /><Relationship Id="rId36" Type="http://schemas.openxmlformats.org/officeDocument/2006/relationships/hyperlink" Target="http://www.handmanager.com/ClubHouse.php?page=equipe_effectif.php&amp;name=09901c3b2379d481b29cff4dbf23f512" TargetMode="External" /><Relationship Id="rId37" Type="http://schemas.openxmlformats.org/officeDocument/2006/relationships/comments" Target="../comments7.xml" /><Relationship Id="rId38" Type="http://schemas.openxmlformats.org/officeDocument/2006/relationships/vmlDrawing" Target="../drawings/vmlDrawing7.vml" /><Relationship Id="rId3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dmanager.com/ClubHouse.php?page=equipe_effectif.php&amp;name=09901c3b2379d481b29cff4dbf23f512" TargetMode="External" /><Relationship Id="rId2" Type="http://schemas.openxmlformats.org/officeDocument/2006/relationships/hyperlink" Target="http://www.handmanager.com/ClubHouse.php?page=equipe_effectif.php&amp;name=09901c3b2379d481b29cff4dbf23f512" TargetMode="External" /><Relationship Id="rId3" Type="http://schemas.openxmlformats.org/officeDocument/2006/relationships/hyperlink" Target="http://www.handmanager.com/ClubHouse.php?page=equipe_effectif.php&amp;name=09901c3b2379d481b29cff4dbf23f512" TargetMode="External" /><Relationship Id="rId4" Type="http://schemas.openxmlformats.org/officeDocument/2006/relationships/hyperlink" Target="http://www.handmanager.com/ClubHouse.php?page=equipe_effectif.php&amp;name=09901c3b2379d481b29cff4dbf23f512" TargetMode="External" /><Relationship Id="rId5" Type="http://schemas.openxmlformats.org/officeDocument/2006/relationships/hyperlink" Target="http://www.handmanager.com/ClubHouse.php?page=equipe_effectif.php&amp;name=09901c3b2379d481b29cff4dbf23f512" TargetMode="External" /><Relationship Id="rId6" Type="http://schemas.openxmlformats.org/officeDocument/2006/relationships/hyperlink" Target="http://www.handmanager.com/ClubHouse.php?page=equipe_effectif.php&amp;name=09901c3b2379d481b29cff4dbf23f512" TargetMode="External" /><Relationship Id="rId7" Type="http://schemas.openxmlformats.org/officeDocument/2006/relationships/hyperlink" Target="http://www.handmanager.com/ClubHouse.php?page=equipe_effectif.php&amp;name=09901c3b2379d481b29cff4dbf23f512" TargetMode="External" /><Relationship Id="rId8" Type="http://schemas.openxmlformats.org/officeDocument/2006/relationships/hyperlink" Target="http://www.handmanager.com/ClubHouse.php?page=equipe_effectif.php&amp;name=09901c3b2379d481b29cff4dbf23f512" TargetMode="External" /><Relationship Id="rId9" Type="http://schemas.openxmlformats.org/officeDocument/2006/relationships/hyperlink" Target="http://www.handmanager.com/ClubHouse.php?page=equipe_effectif.php&amp;name=09901c3b2379d481b29cff4dbf23f512" TargetMode="External" /><Relationship Id="rId10" Type="http://schemas.openxmlformats.org/officeDocument/2006/relationships/hyperlink" Target="http://www.handmanager.com/ClubHouse.php?page=equipe_effectif.php&amp;name=09901c3b2379d481b29cff4dbf23f512" TargetMode="External" /><Relationship Id="rId11" Type="http://schemas.openxmlformats.org/officeDocument/2006/relationships/hyperlink" Target="http://www.handmanager.com/ClubHouse.php?page=equipe_effectif.php&amp;name=09901c3b2379d481b29cff4dbf23f512" TargetMode="External" /><Relationship Id="rId12" Type="http://schemas.openxmlformats.org/officeDocument/2006/relationships/hyperlink" Target="http://www.handmanager.com/ClubHouse.php?page=equipe_effectif.php&amp;name=09901c3b2379d481b29cff4dbf23f512" TargetMode="External" /><Relationship Id="rId13" Type="http://schemas.openxmlformats.org/officeDocument/2006/relationships/hyperlink" Target="http://www.handmanager.com/ClubHouse.php?page=equipe_effectif.php&amp;name=09901c3b2379d481b29cff4dbf23f512" TargetMode="External" /><Relationship Id="rId14" Type="http://schemas.openxmlformats.org/officeDocument/2006/relationships/hyperlink" Target="http://www.handmanager.com/ClubHouse.php?page=equipe_effectif.php&amp;name=09901c3b2379d481b29cff4dbf23f512" TargetMode="External" /><Relationship Id="rId15" Type="http://schemas.openxmlformats.org/officeDocument/2006/relationships/hyperlink" Target="http://www.handmanager.com/ClubHouse.php?page=equipe_effectif.php&amp;name=09901c3b2379d481b29cff4dbf23f512" TargetMode="External" /><Relationship Id="rId16" Type="http://schemas.openxmlformats.org/officeDocument/2006/relationships/hyperlink" Target="http://www.handmanager.com/ClubHouse.php?page=equipe_effectif.php&amp;name=09901c3b2379d481b29cff4dbf23f512" TargetMode="External" /><Relationship Id="rId17" Type="http://schemas.openxmlformats.org/officeDocument/2006/relationships/hyperlink" Target="http://www.handmanager.com/ClubHouse.php?page=equipe_effectif.php&amp;name=09901c3b2379d481b29cff4dbf23f512" TargetMode="External" /><Relationship Id="rId18" Type="http://schemas.openxmlformats.org/officeDocument/2006/relationships/comments" Target="../comments8.xml" /><Relationship Id="rId19" Type="http://schemas.openxmlformats.org/officeDocument/2006/relationships/vmlDrawing" Target="../drawings/vmlDrawing8.vml" /><Relationship Id="rId20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dmanager.com/ClubHouse.php?page=equipe_effectif.php&amp;name=09901c3b2379d481b29cff4dbf23f512" TargetMode="External" /><Relationship Id="rId2" Type="http://schemas.openxmlformats.org/officeDocument/2006/relationships/hyperlink" Target="http://www.handmanager.com/ClubHouse.php?page=equipe_effectif.php&amp;name=09901c3b2379d481b29cff4dbf23f512" TargetMode="External" /><Relationship Id="rId3" Type="http://schemas.openxmlformats.org/officeDocument/2006/relationships/hyperlink" Target="http://www.handmanager.com/ClubHouse.php?page=equipe_effectif.php&amp;name=09901c3b2379d481b29cff4dbf23f512" TargetMode="External" /><Relationship Id="rId4" Type="http://schemas.openxmlformats.org/officeDocument/2006/relationships/hyperlink" Target="http://www.handmanager.com/ClubHouse.php?page=equipe_effectif.php&amp;name=09901c3b2379d481b29cff4dbf23f512" TargetMode="External" /><Relationship Id="rId5" Type="http://schemas.openxmlformats.org/officeDocument/2006/relationships/hyperlink" Target="http://www.handmanager.com/ClubHouse.php?page=equipe_effectif.php&amp;name=09901c3b2379d481b29cff4dbf23f512" TargetMode="External" /><Relationship Id="rId6" Type="http://schemas.openxmlformats.org/officeDocument/2006/relationships/hyperlink" Target="http://www.handmanager.com/ClubHouse.php?page=equipe_effectif.php&amp;name=09901c3b2379d481b29cff4dbf23f512" TargetMode="External" /><Relationship Id="rId7" Type="http://schemas.openxmlformats.org/officeDocument/2006/relationships/hyperlink" Target="http://www.handmanager.com/ClubHouse.php?page=equipe_effectif.php&amp;name=09901c3b2379d481b29cff4dbf23f512" TargetMode="External" /><Relationship Id="rId8" Type="http://schemas.openxmlformats.org/officeDocument/2006/relationships/hyperlink" Target="http://www.handmanager.com/ClubHouse.php?page=equipe_effectif.php&amp;name=09901c3b2379d481b29cff4dbf23f512" TargetMode="External" /><Relationship Id="rId9" Type="http://schemas.openxmlformats.org/officeDocument/2006/relationships/hyperlink" Target="http://www.handmanager.com/ClubHouse.php?page=equipe_effectif.php&amp;name=09901c3b2379d481b29cff4dbf23f512" TargetMode="External" /><Relationship Id="rId10" Type="http://schemas.openxmlformats.org/officeDocument/2006/relationships/hyperlink" Target="http://www.handmanager.com/ClubHouse.php?page=equipe_effectif.php&amp;name=09901c3b2379d481b29cff4dbf23f512" TargetMode="External" /><Relationship Id="rId11" Type="http://schemas.openxmlformats.org/officeDocument/2006/relationships/hyperlink" Target="http://www.handmanager.com/ClubHouse.php?page=equipe_effectif.php&amp;name=09901c3b2379d481b29cff4dbf23f512" TargetMode="External" /><Relationship Id="rId12" Type="http://schemas.openxmlformats.org/officeDocument/2006/relationships/hyperlink" Target="http://www.handmanager.com/ClubHouse.php?page=equipe_effectif.php&amp;name=09901c3b2379d481b29cff4dbf23f512" TargetMode="External" /><Relationship Id="rId13" Type="http://schemas.openxmlformats.org/officeDocument/2006/relationships/hyperlink" Target="http://www.handmanager.com/ClubHouse.php?page=equipe_effectif.php&amp;name=09901c3b2379d481b29cff4dbf23f512" TargetMode="External" /><Relationship Id="rId14" Type="http://schemas.openxmlformats.org/officeDocument/2006/relationships/hyperlink" Target="http://www.handmanager.com/ClubHouse.php?page=equipe_effectif.php&amp;name=09901c3b2379d481b29cff4dbf23f512" TargetMode="External" /><Relationship Id="rId15" Type="http://schemas.openxmlformats.org/officeDocument/2006/relationships/hyperlink" Target="http://www.handmanager.com/ClubHouse.php?page=equipe_effectif.php&amp;name=09901c3b2379d481b29cff4dbf23f512" TargetMode="External" /><Relationship Id="rId16" Type="http://schemas.openxmlformats.org/officeDocument/2006/relationships/hyperlink" Target="http://www.handmanager.com/ClubHouse.php?page=equipe_effectif.php&amp;name=09901c3b2379d481b29cff4dbf23f512" TargetMode="External" /><Relationship Id="rId17" Type="http://schemas.openxmlformats.org/officeDocument/2006/relationships/hyperlink" Target="http://www.handmanager.com/ClubHouse.php?page=equipe_effectif.php&amp;name=09901c3b2379d481b29cff4dbf23f512" TargetMode="External" /><Relationship Id="rId18" Type="http://schemas.openxmlformats.org/officeDocument/2006/relationships/hyperlink" Target="http://www.handmanager.com/ClubHouse.php?page=equipe_effectif.php&amp;name=09901c3b2379d481b29cff4dbf23f512" TargetMode="External" /><Relationship Id="rId19" Type="http://schemas.openxmlformats.org/officeDocument/2006/relationships/hyperlink" Target="http://www.handmanager.com/ClubHouse.php?page=equipe_effectif.php&amp;name=09901c3b2379d481b29cff4dbf23f512" TargetMode="External" /><Relationship Id="rId20" Type="http://schemas.openxmlformats.org/officeDocument/2006/relationships/hyperlink" Target="http://www.handmanager.com/ClubHouse.php?page=equipe_effectif.php&amp;name=09901c3b2379d481b29cff4dbf23f512" TargetMode="External" /><Relationship Id="rId21" Type="http://schemas.openxmlformats.org/officeDocument/2006/relationships/vmlDrawing" Target="../drawings/vmlDrawing9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AK77"/>
  <sheetViews>
    <sheetView zoomScalePageLayoutView="0" workbookViewId="0" topLeftCell="A1">
      <pane xSplit="9" ySplit="1" topLeftCell="Z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Z23" sqref="Z23"/>
    </sheetView>
  </sheetViews>
  <sheetFormatPr defaultColWidth="11.421875" defaultRowHeight="12.75"/>
  <cols>
    <col min="2" max="2" width="20.00390625" style="0" customWidth="1"/>
    <col min="3" max="3" width="5.7109375" style="0" customWidth="1"/>
    <col min="4" max="6" width="6.421875" style="0" customWidth="1"/>
    <col min="7" max="7" width="8.421875" style="0" customWidth="1"/>
    <col min="8" max="8" width="7.8515625" style="0" customWidth="1"/>
    <col min="9" max="9" width="9.28125" style="0" customWidth="1"/>
    <col min="10" max="23" width="5.7109375" style="0" customWidth="1"/>
    <col min="24" max="24" width="16.28125" style="0" bestFit="1" customWidth="1"/>
    <col min="25" max="28" width="7.7109375" style="88" customWidth="1"/>
    <col min="29" max="29" width="3.28125" style="88" hidden="1" customWidth="1"/>
    <col min="32" max="32" width="2.00390625" style="0" bestFit="1" customWidth="1"/>
    <col min="33" max="37" width="10.7109375" style="0" customWidth="1"/>
  </cols>
  <sheetData>
    <row r="1" spans="1:37" s="27" customFormat="1" ht="26.25" customHeight="1">
      <c r="A1" s="236">
        <f>54-COUNTIF(A2:A55,"")</f>
        <v>45</v>
      </c>
      <c r="B1" s="21" t="s">
        <v>21</v>
      </c>
      <c r="C1" s="22" t="s">
        <v>3</v>
      </c>
      <c r="D1" s="22" t="s">
        <v>0</v>
      </c>
      <c r="E1" s="22" t="s">
        <v>78</v>
      </c>
      <c r="F1" s="22" t="s">
        <v>79</v>
      </c>
      <c r="G1" s="23" t="s">
        <v>22</v>
      </c>
      <c r="H1" s="23" t="s">
        <v>23</v>
      </c>
      <c r="I1" s="57" t="s">
        <v>24</v>
      </c>
      <c r="J1" s="22" t="s">
        <v>25</v>
      </c>
      <c r="K1" s="22" t="s">
        <v>26</v>
      </c>
      <c r="L1" s="22" t="s">
        <v>27</v>
      </c>
      <c r="M1" s="22" t="s">
        <v>28</v>
      </c>
      <c r="N1" s="22" t="s">
        <v>29</v>
      </c>
      <c r="O1" s="22" t="s">
        <v>30</v>
      </c>
      <c r="P1" s="22" t="s">
        <v>31</v>
      </c>
      <c r="Q1" s="22" t="s">
        <v>32</v>
      </c>
      <c r="R1" s="22" t="s">
        <v>33</v>
      </c>
      <c r="S1" s="22" t="s">
        <v>34</v>
      </c>
      <c r="T1" s="22" t="s">
        <v>35</v>
      </c>
      <c r="U1" s="22" t="s">
        <v>36</v>
      </c>
      <c r="V1" s="22" t="s">
        <v>37</v>
      </c>
      <c r="W1" s="68" t="s">
        <v>38</v>
      </c>
      <c r="X1" s="24" t="s">
        <v>48</v>
      </c>
      <c r="Y1" s="25" t="s">
        <v>200</v>
      </c>
      <c r="Z1" s="26" t="s">
        <v>197</v>
      </c>
      <c r="AA1" s="26" t="s">
        <v>198</v>
      </c>
      <c r="AB1" s="26" t="s">
        <v>199</v>
      </c>
      <c r="AC1" s="87"/>
      <c r="AD1" s="277" t="s">
        <v>215</v>
      </c>
      <c r="AE1" s="277" t="s">
        <v>2</v>
      </c>
      <c r="AF1" s="277"/>
      <c r="AG1" s="395">
        <v>40787</v>
      </c>
      <c r="AH1" s="396">
        <v>40909</v>
      </c>
      <c r="AI1" s="396">
        <v>41030</v>
      </c>
      <c r="AJ1" s="277" t="s">
        <v>365</v>
      </c>
      <c r="AK1" s="396">
        <v>41275</v>
      </c>
    </row>
    <row r="2" spans="1:37" ht="12.75">
      <c r="A2" s="427" t="s">
        <v>402</v>
      </c>
      <c r="B2" s="10" t="s">
        <v>187</v>
      </c>
      <c r="C2" s="11">
        <v>1</v>
      </c>
      <c r="D2" s="11">
        <v>29</v>
      </c>
      <c r="E2" s="11" t="str">
        <f aca="true" t="shared" si="0" ref="E2:E46">IF(D2&lt;22,"E","S")</f>
        <v>S</v>
      </c>
      <c r="F2" s="11" t="str">
        <f aca="true" t="shared" si="1" ref="F2:F10">IF(C2="","",IF(C2&lt;9,"AV",IF(C2&lt;11,"CH",IF(C2&lt;15,"TQ","AR"))))</f>
        <v>AV</v>
      </c>
      <c r="G2" s="103">
        <v>77.14</v>
      </c>
      <c r="H2" s="12">
        <v>100</v>
      </c>
      <c r="I2" s="33">
        <v>0.79</v>
      </c>
      <c r="J2" s="38">
        <v>1</v>
      </c>
      <c r="K2" s="11">
        <v>70.09</v>
      </c>
      <c r="L2" s="11">
        <v>1</v>
      </c>
      <c r="M2" s="11">
        <v>7.53</v>
      </c>
      <c r="N2" s="11">
        <v>89.64</v>
      </c>
      <c r="O2" s="11">
        <v>93.86</v>
      </c>
      <c r="P2" s="11">
        <v>1</v>
      </c>
      <c r="Q2" s="11">
        <v>100.03</v>
      </c>
      <c r="R2" s="11">
        <v>95.49</v>
      </c>
      <c r="S2" s="11">
        <v>21.72</v>
      </c>
      <c r="T2" s="11">
        <v>67.72</v>
      </c>
      <c r="U2" s="11">
        <v>90.5</v>
      </c>
      <c r="V2" s="12">
        <v>38.45</v>
      </c>
      <c r="W2" s="36">
        <v>89.34</v>
      </c>
      <c r="X2" s="36" t="s">
        <v>12</v>
      </c>
      <c r="Y2" s="149">
        <v>3</v>
      </c>
      <c r="Z2" s="102">
        <v>1</v>
      </c>
      <c r="AB2" s="102"/>
      <c r="AC2" s="102"/>
      <c r="AD2" s="342" t="s">
        <v>206</v>
      </c>
      <c r="AE2" s="346">
        <v>7736</v>
      </c>
      <c r="AG2" s="425" t="s">
        <v>238</v>
      </c>
      <c r="AH2" s="424" t="s">
        <v>265</v>
      </c>
      <c r="AI2" s="424" t="s">
        <v>265</v>
      </c>
      <c r="AJ2" s="420" t="s">
        <v>265</v>
      </c>
      <c r="AK2" s="420" t="s">
        <v>265</v>
      </c>
    </row>
    <row r="3" spans="1:37" ht="12.75">
      <c r="A3" s="427" t="s">
        <v>402</v>
      </c>
      <c r="B3" s="10" t="s">
        <v>4</v>
      </c>
      <c r="C3" s="11">
        <v>2</v>
      </c>
      <c r="D3" s="11">
        <v>24</v>
      </c>
      <c r="E3" s="11" t="str">
        <f t="shared" si="0"/>
        <v>S</v>
      </c>
      <c r="F3" s="11" t="str">
        <f t="shared" si="1"/>
        <v>AV</v>
      </c>
      <c r="G3" s="103">
        <v>85.21</v>
      </c>
      <c r="H3" s="12">
        <v>100</v>
      </c>
      <c r="I3" s="33">
        <v>0.81</v>
      </c>
      <c r="J3" s="38">
        <v>1</v>
      </c>
      <c r="K3" s="11">
        <v>49.62</v>
      </c>
      <c r="L3" s="11">
        <v>1</v>
      </c>
      <c r="M3" s="11">
        <v>17.63</v>
      </c>
      <c r="N3" s="11">
        <v>85.83</v>
      </c>
      <c r="O3" s="11">
        <v>98.07</v>
      </c>
      <c r="P3" s="11">
        <v>1</v>
      </c>
      <c r="Q3" s="11">
        <v>101.88</v>
      </c>
      <c r="R3" s="11">
        <v>99.7</v>
      </c>
      <c r="S3" s="11">
        <v>29.35</v>
      </c>
      <c r="T3" s="11">
        <v>87.99</v>
      </c>
      <c r="U3" s="11">
        <v>94.52</v>
      </c>
      <c r="V3" s="12">
        <v>71.62</v>
      </c>
      <c r="W3" s="36">
        <v>94.23</v>
      </c>
      <c r="X3" s="36" t="s">
        <v>12</v>
      </c>
      <c r="Y3" s="149">
        <v>16</v>
      </c>
      <c r="Z3" s="102">
        <v>2</v>
      </c>
      <c r="AB3" s="102"/>
      <c r="AC3" s="102"/>
      <c r="AD3" s="342" t="s">
        <v>206</v>
      </c>
      <c r="AE3" s="346">
        <v>9319</v>
      </c>
      <c r="AG3" s="320" t="s">
        <v>238</v>
      </c>
      <c r="AH3" s="320" t="s">
        <v>238</v>
      </c>
      <c r="AI3" s="320" t="s">
        <v>238</v>
      </c>
      <c r="AJ3" s="424" t="s">
        <v>265</v>
      </c>
      <c r="AK3" s="424" t="s">
        <v>265</v>
      </c>
    </row>
    <row r="4" spans="1:37" ht="12.75">
      <c r="A4" s="427" t="s">
        <v>402</v>
      </c>
      <c r="B4" s="10" t="s">
        <v>129</v>
      </c>
      <c r="C4" s="11">
        <v>2</v>
      </c>
      <c r="D4" s="11">
        <v>22</v>
      </c>
      <c r="E4" s="11" t="str">
        <f t="shared" si="0"/>
        <v>S</v>
      </c>
      <c r="F4" s="11" t="str">
        <f t="shared" si="1"/>
        <v>AV</v>
      </c>
      <c r="G4" s="103">
        <v>70.65</v>
      </c>
      <c r="H4" s="12">
        <v>60.83</v>
      </c>
      <c r="I4" s="33">
        <v>0.6</v>
      </c>
      <c r="J4" s="38">
        <v>1</v>
      </c>
      <c r="K4" s="11">
        <v>43.62</v>
      </c>
      <c r="L4" s="11">
        <v>1</v>
      </c>
      <c r="M4" s="11">
        <v>6.01</v>
      </c>
      <c r="N4" s="11">
        <v>55.14</v>
      </c>
      <c r="O4" s="11">
        <v>92.66</v>
      </c>
      <c r="P4" s="11">
        <v>1</v>
      </c>
      <c r="Q4" s="11">
        <v>90.96</v>
      </c>
      <c r="R4" s="11">
        <v>99.49</v>
      </c>
      <c r="S4" s="11">
        <v>52.17</v>
      </c>
      <c r="T4" s="11">
        <v>38.78</v>
      </c>
      <c r="U4" s="11">
        <v>70.7</v>
      </c>
      <c r="V4" s="12">
        <v>31.95</v>
      </c>
      <c r="W4" s="36">
        <v>92.15</v>
      </c>
      <c r="X4" s="36" t="s">
        <v>12</v>
      </c>
      <c r="Y4" s="149">
        <v>2</v>
      </c>
      <c r="Z4" s="102">
        <v>3</v>
      </c>
      <c r="AA4" s="149"/>
      <c r="AB4" s="102"/>
      <c r="AC4" s="102"/>
      <c r="AD4" s="334" t="s">
        <v>218</v>
      </c>
      <c r="AE4" s="346">
        <v>6060</v>
      </c>
      <c r="AG4" s="320" t="s">
        <v>238</v>
      </c>
      <c r="AH4" s="320" t="s">
        <v>238</v>
      </c>
      <c r="AI4" s="320" t="s">
        <v>238</v>
      </c>
      <c r="AJ4" s="320" t="s">
        <v>238</v>
      </c>
      <c r="AK4" s="320" t="s">
        <v>238</v>
      </c>
    </row>
    <row r="5" spans="1:37" ht="12.75">
      <c r="A5" s="427" t="s">
        <v>402</v>
      </c>
      <c r="B5" s="10" t="s">
        <v>196</v>
      </c>
      <c r="C5" s="11">
        <v>8</v>
      </c>
      <c r="D5" s="11">
        <v>27</v>
      </c>
      <c r="E5" s="11" t="str">
        <f t="shared" si="0"/>
        <v>S</v>
      </c>
      <c r="F5" s="11" t="str">
        <f t="shared" si="1"/>
        <v>AV</v>
      </c>
      <c r="G5" s="103">
        <v>81.16</v>
      </c>
      <c r="H5" s="12">
        <v>100</v>
      </c>
      <c r="I5" s="33">
        <v>0.72</v>
      </c>
      <c r="J5" s="38">
        <v>1</v>
      </c>
      <c r="K5" s="11">
        <v>82.41</v>
      </c>
      <c r="L5" s="11">
        <v>1</v>
      </c>
      <c r="M5" s="11">
        <v>80.55</v>
      </c>
      <c r="N5" s="11">
        <v>76.27</v>
      </c>
      <c r="O5" s="11">
        <v>95.13</v>
      </c>
      <c r="P5" s="11">
        <v>1</v>
      </c>
      <c r="Q5" s="11">
        <v>94.71</v>
      </c>
      <c r="R5" s="11">
        <v>96.35</v>
      </c>
      <c r="S5" s="11">
        <v>91.33</v>
      </c>
      <c r="T5" s="11">
        <v>58.78</v>
      </c>
      <c r="U5" s="11">
        <v>93.4</v>
      </c>
      <c r="V5" s="12">
        <v>62.35</v>
      </c>
      <c r="W5" s="36">
        <v>89.52</v>
      </c>
      <c r="X5" s="36" t="s">
        <v>49</v>
      </c>
      <c r="Y5" s="149">
        <v>4</v>
      </c>
      <c r="Z5" s="102">
        <v>4</v>
      </c>
      <c r="AB5" s="102"/>
      <c r="AC5" s="102"/>
      <c r="AD5" s="352" t="s">
        <v>301</v>
      </c>
      <c r="AE5" s="346">
        <v>8451</v>
      </c>
      <c r="AG5" s="320" t="s">
        <v>238</v>
      </c>
      <c r="AH5" s="424" t="s">
        <v>265</v>
      </c>
      <c r="AI5" s="421" t="s">
        <v>293</v>
      </c>
      <c r="AJ5" s="398"/>
      <c r="AK5" s="81"/>
    </row>
    <row r="6" spans="1:37" ht="12.75">
      <c r="A6" s="427" t="s">
        <v>402</v>
      </c>
      <c r="B6" s="10" t="s">
        <v>6</v>
      </c>
      <c r="C6" s="11">
        <v>5</v>
      </c>
      <c r="D6" s="11">
        <v>26</v>
      </c>
      <c r="E6" s="11" t="str">
        <f t="shared" si="0"/>
        <v>S</v>
      </c>
      <c r="F6" s="11" t="str">
        <f t="shared" si="1"/>
        <v>AV</v>
      </c>
      <c r="G6" s="103">
        <v>76.97</v>
      </c>
      <c r="H6" s="12">
        <v>100</v>
      </c>
      <c r="I6" s="33">
        <v>0.76</v>
      </c>
      <c r="J6" s="38">
        <v>1</v>
      </c>
      <c r="K6" s="11">
        <v>31.96</v>
      </c>
      <c r="L6" s="11">
        <v>1</v>
      </c>
      <c r="M6" s="11">
        <v>9.23</v>
      </c>
      <c r="N6" s="11">
        <v>78.15</v>
      </c>
      <c r="O6" s="11">
        <v>96.37</v>
      </c>
      <c r="P6" s="11">
        <v>1</v>
      </c>
      <c r="Q6" s="11">
        <v>100.53</v>
      </c>
      <c r="R6" s="11">
        <v>97.38</v>
      </c>
      <c r="S6" s="11">
        <v>37.22</v>
      </c>
      <c r="T6" s="11">
        <v>57.98</v>
      </c>
      <c r="U6" s="11">
        <v>91.09</v>
      </c>
      <c r="V6" s="12">
        <v>46.39</v>
      </c>
      <c r="W6" s="36">
        <v>91.5</v>
      </c>
      <c r="X6" s="36" t="s">
        <v>13</v>
      </c>
      <c r="Y6" s="149">
        <v>5</v>
      </c>
      <c r="Z6" s="102">
        <v>5</v>
      </c>
      <c r="AB6" s="102"/>
      <c r="AC6" s="102"/>
      <c r="AD6" s="342" t="s">
        <v>206</v>
      </c>
      <c r="AE6" s="346">
        <v>7306</v>
      </c>
      <c r="AG6" s="320" t="s">
        <v>238</v>
      </c>
      <c r="AH6" s="320" t="s">
        <v>238</v>
      </c>
      <c r="AI6" s="420" t="s">
        <v>265</v>
      </c>
      <c r="AJ6" s="398"/>
      <c r="AK6" s="81"/>
    </row>
    <row r="7" spans="1:37" ht="12.75">
      <c r="A7" s="427" t="s">
        <v>402</v>
      </c>
      <c r="B7" s="10" t="s">
        <v>41</v>
      </c>
      <c r="C7" s="11">
        <v>6</v>
      </c>
      <c r="D7" s="11">
        <v>26</v>
      </c>
      <c r="E7" s="11" t="str">
        <f t="shared" si="0"/>
        <v>S</v>
      </c>
      <c r="F7" s="11" t="str">
        <f t="shared" si="1"/>
        <v>AV</v>
      </c>
      <c r="G7" s="103">
        <v>78.06</v>
      </c>
      <c r="H7" s="12">
        <v>100</v>
      </c>
      <c r="I7" s="33">
        <v>0.72</v>
      </c>
      <c r="J7" s="38">
        <v>1</v>
      </c>
      <c r="K7" s="11">
        <v>54.55</v>
      </c>
      <c r="L7" s="11">
        <v>1</v>
      </c>
      <c r="M7" s="11">
        <v>76.19</v>
      </c>
      <c r="N7" s="11">
        <v>83.95</v>
      </c>
      <c r="O7" s="11">
        <v>91.18</v>
      </c>
      <c r="P7" s="11">
        <v>1</v>
      </c>
      <c r="Q7" s="11">
        <v>98.64</v>
      </c>
      <c r="R7" s="11">
        <v>96.03</v>
      </c>
      <c r="S7" s="11">
        <v>54.39</v>
      </c>
      <c r="T7" s="11">
        <v>63.2</v>
      </c>
      <c r="U7" s="11">
        <v>91.88</v>
      </c>
      <c r="V7" s="12">
        <v>52.87</v>
      </c>
      <c r="W7" s="36">
        <v>89.27</v>
      </c>
      <c r="X7" s="36" t="s">
        <v>14</v>
      </c>
      <c r="Y7" s="149">
        <v>6</v>
      </c>
      <c r="Z7" s="102">
        <v>6</v>
      </c>
      <c r="AB7" s="102"/>
      <c r="AC7" s="102"/>
      <c r="AD7" s="342" t="s">
        <v>206</v>
      </c>
      <c r="AE7" s="346">
        <v>7383</v>
      </c>
      <c r="AG7" s="320" t="s">
        <v>238</v>
      </c>
      <c r="AH7" s="320" t="s">
        <v>238</v>
      </c>
      <c r="AI7" s="424" t="s">
        <v>265</v>
      </c>
      <c r="AJ7" s="398"/>
      <c r="AK7" s="81"/>
    </row>
    <row r="8" spans="1:37" ht="12.75">
      <c r="A8" s="427" t="s">
        <v>402</v>
      </c>
      <c r="B8" s="10" t="s">
        <v>186</v>
      </c>
      <c r="C8" s="11">
        <v>8</v>
      </c>
      <c r="D8" s="11">
        <v>27</v>
      </c>
      <c r="E8" s="11" t="str">
        <f t="shared" si="0"/>
        <v>S</v>
      </c>
      <c r="F8" s="11" t="str">
        <f t="shared" si="1"/>
        <v>AV</v>
      </c>
      <c r="G8" s="103">
        <v>87.22</v>
      </c>
      <c r="H8" s="12">
        <v>100</v>
      </c>
      <c r="I8" s="33">
        <v>0.81</v>
      </c>
      <c r="J8" s="38">
        <v>1</v>
      </c>
      <c r="K8" s="11">
        <v>86.48</v>
      </c>
      <c r="L8" s="11">
        <v>1</v>
      </c>
      <c r="M8" s="11">
        <v>70.7</v>
      </c>
      <c r="N8" s="11">
        <v>67.19</v>
      </c>
      <c r="O8" s="11">
        <v>103.27</v>
      </c>
      <c r="P8" s="11">
        <v>1</v>
      </c>
      <c r="Q8" s="11">
        <v>102.22</v>
      </c>
      <c r="R8" s="11">
        <v>97.73</v>
      </c>
      <c r="S8" s="11">
        <v>89.56</v>
      </c>
      <c r="T8" s="11">
        <v>90.47</v>
      </c>
      <c r="U8" s="11">
        <v>90.88</v>
      </c>
      <c r="V8" s="12">
        <v>64.28</v>
      </c>
      <c r="W8" s="36">
        <v>98.43</v>
      </c>
      <c r="X8" s="36" t="s">
        <v>14</v>
      </c>
      <c r="Y8" s="149"/>
      <c r="Z8" s="102">
        <v>7</v>
      </c>
      <c r="AB8" s="102"/>
      <c r="AC8" s="102"/>
      <c r="AD8" s="342" t="s">
        <v>206</v>
      </c>
      <c r="AE8" s="346">
        <v>9329</v>
      </c>
      <c r="AG8" s="320" t="s">
        <v>238</v>
      </c>
      <c r="AH8" s="424" t="s">
        <v>265</v>
      </c>
      <c r="AI8" s="421" t="s">
        <v>293</v>
      </c>
      <c r="AJ8" s="398"/>
      <c r="AK8" s="81"/>
    </row>
    <row r="9" spans="1:37" ht="12.75">
      <c r="A9" s="427" t="s">
        <v>402</v>
      </c>
      <c r="B9" s="10" t="s">
        <v>7</v>
      </c>
      <c r="C9" s="11">
        <v>8</v>
      </c>
      <c r="D9" s="11">
        <v>26</v>
      </c>
      <c r="E9" s="11" t="str">
        <f t="shared" si="0"/>
        <v>S</v>
      </c>
      <c r="F9" s="11" t="str">
        <f t="shared" si="1"/>
        <v>AV</v>
      </c>
      <c r="G9" s="103">
        <v>89.67</v>
      </c>
      <c r="H9" s="12">
        <v>100</v>
      </c>
      <c r="I9" s="33">
        <v>0.75</v>
      </c>
      <c r="J9" s="38">
        <v>1</v>
      </c>
      <c r="K9" s="11">
        <v>92.07</v>
      </c>
      <c r="L9" s="11">
        <v>1</v>
      </c>
      <c r="M9" s="11">
        <v>87.35</v>
      </c>
      <c r="N9" s="11">
        <v>91.84</v>
      </c>
      <c r="O9" s="11">
        <v>95.97</v>
      </c>
      <c r="P9" s="11">
        <v>1</v>
      </c>
      <c r="Q9" s="11">
        <v>103.48</v>
      </c>
      <c r="R9" s="11">
        <v>99.29</v>
      </c>
      <c r="S9" s="11">
        <v>95</v>
      </c>
      <c r="T9" s="11">
        <v>91.53</v>
      </c>
      <c r="U9" s="11">
        <v>91.61</v>
      </c>
      <c r="V9" s="12">
        <v>72.47</v>
      </c>
      <c r="W9" s="36">
        <v>90.24</v>
      </c>
      <c r="X9" s="36" t="s">
        <v>49</v>
      </c>
      <c r="Y9" s="149">
        <v>8</v>
      </c>
      <c r="Z9" s="102">
        <v>8</v>
      </c>
      <c r="AB9" s="102"/>
      <c r="AC9" s="102"/>
      <c r="AD9" s="342" t="s">
        <v>206</v>
      </c>
      <c r="AE9" s="346">
        <v>10335</v>
      </c>
      <c r="AG9" s="320" t="s">
        <v>238</v>
      </c>
      <c r="AH9" s="320" t="s">
        <v>238</v>
      </c>
      <c r="AI9" s="424" t="s">
        <v>265</v>
      </c>
      <c r="AJ9" s="421" t="s">
        <v>293</v>
      </c>
      <c r="AK9" s="81"/>
    </row>
    <row r="10" spans="1:37" ht="12.75">
      <c r="A10" s="428" t="s">
        <v>402</v>
      </c>
      <c r="B10" s="172" t="s">
        <v>294</v>
      </c>
      <c r="C10" s="11">
        <v>9</v>
      </c>
      <c r="D10" s="11">
        <v>25</v>
      </c>
      <c r="E10" s="11" t="str">
        <f t="shared" si="0"/>
        <v>S</v>
      </c>
      <c r="F10" s="11" t="str">
        <f t="shared" si="1"/>
        <v>CH</v>
      </c>
      <c r="G10" s="103">
        <v>86.97</v>
      </c>
      <c r="H10" s="12">
        <v>13.81</v>
      </c>
      <c r="I10" s="33">
        <v>0.81</v>
      </c>
      <c r="J10" s="38">
        <v>83.45</v>
      </c>
      <c r="K10" s="11">
        <v>102.39</v>
      </c>
      <c r="L10" s="11">
        <v>82.58</v>
      </c>
      <c r="M10" s="11">
        <v>88.43</v>
      </c>
      <c r="N10" s="11">
        <v>87.76</v>
      </c>
      <c r="O10" s="11">
        <v>90.84</v>
      </c>
      <c r="P10" s="11">
        <v>92.09</v>
      </c>
      <c r="Q10" s="11">
        <v>75.76</v>
      </c>
      <c r="R10" s="11">
        <v>92.04</v>
      </c>
      <c r="S10" s="11">
        <v>81.98</v>
      </c>
      <c r="T10" s="11">
        <v>95.63</v>
      </c>
      <c r="U10" s="11">
        <v>101.05</v>
      </c>
      <c r="V10" s="12">
        <v>96.43</v>
      </c>
      <c r="W10" s="36">
        <v>48.76</v>
      </c>
      <c r="X10" s="36" t="s">
        <v>50</v>
      </c>
      <c r="Y10" s="149">
        <v>9</v>
      </c>
      <c r="Z10" s="102">
        <v>9</v>
      </c>
      <c r="AA10" s="149"/>
      <c r="AB10" s="102"/>
      <c r="AC10" s="102"/>
      <c r="AD10" s="343" t="s">
        <v>300</v>
      </c>
      <c r="AE10" s="346">
        <v>10192</v>
      </c>
      <c r="AG10" s="320" t="s">
        <v>238</v>
      </c>
      <c r="AH10" s="320" t="s">
        <v>238</v>
      </c>
      <c r="AI10" s="320" t="s">
        <v>238</v>
      </c>
      <c r="AJ10" s="424" t="s">
        <v>265</v>
      </c>
      <c r="AK10" s="421" t="s">
        <v>293</v>
      </c>
    </row>
    <row r="11" spans="1:37" ht="12.75">
      <c r="A11" s="431" t="s">
        <v>402</v>
      </c>
      <c r="B11" s="10" t="s">
        <v>229</v>
      </c>
      <c r="C11" s="11">
        <v>15</v>
      </c>
      <c r="D11" s="11">
        <v>23</v>
      </c>
      <c r="E11" s="11" t="str">
        <f t="shared" si="0"/>
        <v>S</v>
      </c>
      <c r="F11" s="11" t="str">
        <f>IF(C11&lt;0,"",IF(C11&lt;9,"AV",IF(C11&lt;11,"CH",IF(C11&lt;15,"TQ","AR"))))</f>
        <v>AR</v>
      </c>
      <c r="G11" s="103">
        <v>78.11</v>
      </c>
      <c r="H11" s="12">
        <v>89.07</v>
      </c>
      <c r="I11" s="33">
        <v>0.74</v>
      </c>
      <c r="J11" s="38">
        <v>29.81</v>
      </c>
      <c r="K11" s="11">
        <v>89.8</v>
      </c>
      <c r="L11" s="11">
        <v>88.4</v>
      </c>
      <c r="M11" s="11">
        <v>93.97</v>
      </c>
      <c r="N11" s="11">
        <v>75.62</v>
      </c>
      <c r="O11" s="11">
        <v>96.34</v>
      </c>
      <c r="P11" s="11">
        <v>12.88</v>
      </c>
      <c r="Q11" s="11">
        <v>3.53</v>
      </c>
      <c r="R11" s="11">
        <v>1</v>
      </c>
      <c r="S11" s="11">
        <v>95.11</v>
      </c>
      <c r="T11" s="11">
        <v>82.87</v>
      </c>
      <c r="U11" s="11">
        <v>80.76</v>
      </c>
      <c r="V11" s="12">
        <v>41.86</v>
      </c>
      <c r="W11" s="36">
        <v>1</v>
      </c>
      <c r="X11" s="36" t="s">
        <v>54</v>
      </c>
      <c r="Y11" s="149">
        <v>10</v>
      </c>
      <c r="Z11" s="102">
        <v>10</v>
      </c>
      <c r="AB11" s="102"/>
      <c r="AC11" s="102"/>
      <c r="AD11" s="344" t="s">
        <v>230</v>
      </c>
      <c r="AE11" s="346">
        <v>6992</v>
      </c>
      <c r="AG11" s="320" t="s">
        <v>238</v>
      </c>
      <c r="AH11" s="320" t="s">
        <v>238</v>
      </c>
      <c r="AI11" s="320" t="s">
        <v>238</v>
      </c>
      <c r="AJ11" s="320" t="s">
        <v>238</v>
      </c>
      <c r="AK11" s="320" t="s">
        <v>238</v>
      </c>
    </row>
    <row r="12" spans="1:37" ht="12.75">
      <c r="A12" s="426" t="s">
        <v>402</v>
      </c>
      <c r="B12" s="10" t="s">
        <v>11</v>
      </c>
      <c r="C12" s="11">
        <v>11</v>
      </c>
      <c r="D12" s="11">
        <v>22</v>
      </c>
      <c r="E12" s="11" t="str">
        <f t="shared" si="0"/>
        <v>S</v>
      </c>
      <c r="F12" s="11" t="str">
        <f>IF(C12&lt;0,"",IF(C12&lt;9,"AV",IF(C12&lt;11,"CH",IF(C12&lt;15,"TQ","AR"))))</f>
        <v>TQ</v>
      </c>
      <c r="G12" s="103">
        <v>65.05</v>
      </c>
      <c r="H12" s="12">
        <v>63.81</v>
      </c>
      <c r="I12" s="33">
        <v>0.61</v>
      </c>
      <c r="J12" s="38">
        <v>3.53</v>
      </c>
      <c r="K12" s="11">
        <v>102.48</v>
      </c>
      <c r="L12" s="11">
        <v>34.34</v>
      </c>
      <c r="M12" s="11">
        <v>85.83</v>
      </c>
      <c r="N12" s="11">
        <v>53.29</v>
      </c>
      <c r="O12" s="11">
        <v>78.38</v>
      </c>
      <c r="P12" s="11">
        <v>1</v>
      </c>
      <c r="Q12" s="11">
        <v>1.52</v>
      </c>
      <c r="R12" s="11">
        <v>1</v>
      </c>
      <c r="S12" s="11">
        <v>70.62</v>
      </c>
      <c r="T12" s="11">
        <v>58.71</v>
      </c>
      <c r="U12" s="11">
        <v>50.65</v>
      </c>
      <c r="V12" s="12">
        <v>84.62</v>
      </c>
      <c r="W12" s="36">
        <v>1</v>
      </c>
      <c r="X12" s="36" t="s">
        <v>52</v>
      </c>
      <c r="Y12" s="149">
        <v>11</v>
      </c>
      <c r="Z12" s="102">
        <v>11</v>
      </c>
      <c r="AA12" s="149"/>
      <c r="AB12" s="102"/>
      <c r="AC12" s="102"/>
      <c r="AD12" s="342" t="s">
        <v>206</v>
      </c>
      <c r="AE12" s="346">
        <v>3998</v>
      </c>
      <c r="AG12" s="320" t="s">
        <v>238</v>
      </c>
      <c r="AH12" s="424" t="s">
        <v>265</v>
      </c>
      <c r="AI12" s="424" t="s">
        <v>265</v>
      </c>
      <c r="AJ12" s="424" t="s">
        <v>265</v>
      </c>
      <c r="AK12" s="424" t="s">
        <v>265</v>
      </c>
    </row>
    <row r="13" spans="1:37" ht="12.75">
      <c r="A13" s="428" t="s">
        <v>402</v>
      </c>
      <c r="B13" s="10" t="s">
        <v>234</v>
      </c>
      <c r="C13" s="11">
        <v>10</v>
      </c>
      <c r="D13" s="11">
        <v>32</v>
      </c>
      <c r="E13" s="11" t="str">
        <f t="shared" si="0"/>
        <v>S</v>
      </c>
      <c r="F13" s="11" t="str">
        <f aca="true" t="shared" si="2" ref="F13:F21">IF(C13="","",IF(C13&lt;9,"AV",IF(C13&lt;11,"CH",IF(C13&lt;15,"TQ","AR"))))</f>
        <v>CH</v>
      </c>
      <c r="G13" s="103">
        <v>72.04</v>
      </c>
      <c r="H13" s="12">
        <v>100</v>
      </c>
      <c r="I13" s="33">
        <v>0.94</v>
      </c>
      <c r="J13" s="38">
        <v>76.81</v>
      </c>
      <c r="K13" s="11">
        <v>79.88</v>
      </c>
      <c r="L13" s="11">
        <v>80.47</v>
      </c>
      <c r="M13" s="11">
        <v>87.06</v>
      </c>
      <c r="N13" s="11">
        <v>74.77</v>
      </c>
      <c r="O13" s="11">
        <v>102.77</v>
      </c>
      <c r="P13" s="11">
        <v>35.48</v>
      </c>
      <c r="Q13" s="11">
        <v>20.35</v>
      </c>
      <c r="R13" s="11">
        <v>1</v>
      </c>
      <c r="S13" s="11">
        <v>92.49</v>
      </c>
      <c r="T13" s="11">
        <v>29.59</v>
      </c>
      <c r="U13" s="11">
        <v>46.69</v>
      </c>
      <c r="V13" s="12">
        <v>59.22</v>
      </c>
      <c r="W13" s="36">
        <v>1.21</v>
      </c>
      <c r="X13" s="36" t="s">
        <v>51</v>
      </c>
      <c r="Y13" s="149"/>
      <c r="Z13" s="102">
        <v>12</v>
      </c>
      <c r="AB13" s="102"/>
      <c r="AC13" s="102"/>
      <c r="AD13" s="342" t="s">
        <v>206</v>
      </c>
      <c r="AE13" s="346">
        <v>5594</v>
      </c>
      <c r="AG13" s="320" t="s">
        <v>238</v>
      </c>
      <c r="AH13" s="421" t="s">
        <v>293</v>
      </c>
      <c r="AI13" s="398"/>
      <c r="AJ13" s="398"/>
      <c r="AK13" s="81"/>
    </row>
    <row r="14" spans="1:37" ht="12.75">
      <c r="A14" s="426" t="s">
        <v>402</v>
      </c>
      <c r="B14" s="10" t="s">
        <v>131</v>
      </c>
      <c r="C14" s="11">
        <v>13</v>
      </c>
      <c r="D14" s="11">
        <v>22</v>
      </c>
      <c r="E14" s="11" t="str">
        <f t="shared" si="0"/>
        <v>S</v>
      </c>
      <c r="F14" s="11" t="str">
        <f t="shared" si="2"/>
        <v>TQ</v>
      </c>
      <c r="G14" s="103">
        <v>69.87</v>
      </c>
      <c r="H14" s="12">
        <v>63.31</v>
      </c>
      <c r="I14" s="33">
        <v>0.65</v>
      </c>
      <c r="J14" s="38">
        <v>4.22</v>
      </c>
      <c r="K14" s="11">
        <v>96.46</v>
      </c>
      <c r="L14" s="11">
        <v>30</v>
      </c>
      <c r="M14" s="11">
        <v>89.53</v>
      </c>
      <c r="N14" s="11">
        <v>66.59</v>
      </c>
      <c r="O14" s="11">
        <v>81.38</v>
      </c>
      <c r="P14" s="11">
        <v>1.1</v>
      </c>
      <c r="Q14" s="11">
        <v>1.52</v>
      </c>
      <c r="R14" s="11">
        <v>1</v>
      </c>
      <c r="S14" s="11">
        <v>66.65</v>
      </c>
      <c r="T14" s="11">
        <v>66.08</v>
      </c>
      <c r="U14" s="11">
        <v>75.66</v>
      </c>
      <c r="V14" s="12">
        <v>83.52</v>
      </c>
      <c r="W14" s="36">
        <v>1</v>
      </c>
      <c r="X14" s="36" t="s">
        <v>53</v>
      </c>
      <c r="Y14" s="149">
        <v>13</v>
      </c>
      <c r="Z14" s="102">
        <v>13</v>
      </c>
      <c r="AA14" s="149"/>
      <c r="AB14" s="102"/>
      <c r="AC14" s="102"/>
      <c r="AD14" s="434" t="s">
        <v>303</v>
      </c>
      <c r="AE14" s="346">
        <v>4933</v>
      </c>
      <c r="AG14" s="320" t="s">
        <v>238</v>
      </c>
      <c r="AH14" s="320" t="s">
        <v>238</v>
      </c>
      <c r="AI14" s="320" t="s">
        <v>238</v>
      </c>
      <c r="AJ14" s="320" t="s">
        <v>238</v>
      </c>
      <c r="AK14" s="320" t="s">
        <v>238</v>
      </c>
    </row>
    <row r="15" spans="1:37" ht="12.75">
      <c r="A15" s="431" t="s">
        <v>402</v>
      </c>
      <c r="B15" s="10" t="s">
        <v>46</v>
      </c>
      <c r="C15" s="11">
        <v>15</v>
      </c>
      <c r="D15" s="11">
        <v>31</v>
      </c>
      <c r="E15" s="11" t="str">
        <f t="shared" si="0"/>
        <v>S</v>
      </c>
      <c r="F15" s="11" t="str">
        <f t="shared" si="2"/>
        <v>AR</v>
      </c>
      <c r="G15" s="103">
        <v>70.96</v>
      </c>
      <c r="H15" s="12">
        <v>100</v>
      </c>
      <c r="I15" s="33">
        <v>0.73</v>
      </c>
      <c r="J15" s="38">
        <v>48.51</v>
      </c>
      <c r="K15" s="11">
        <v>87.23</v>
      </c>
      <c r="L15" s="11">
        <v>64.6</v>
      </c>
      <c r="M15" s="11">
        <v>91.35</v>
      </c>
      <c r="N15" s="11">
        <v>73.76</v>
      </c>
      <c r="O15" s="11">
        <v>84.24</v>
      </c>
      <c r="P15" s="11">
        <v>15.92</v>
      </c>
      <c r="Q15" s="11">
        <v>1.21</v>
      </c>
      <c r="R15" s="11">
        <v>1</v>
      </c>
      <c r="S15" s="11">
        <v>68.41</v>
      </c>
      <c r="T15" s="11">
        <v>57.09</v>
      </c>
      <c r="U15" s="11">
        <v>82.67</v>
      </c>
      <c r="V15" s="12">
        <v>84.4</v>
      </c>
      <c r="W15" s="36">
        <v>1</v>
      </c>
      <c r="X15" s="36" t="s">
        <v>54</v>
      </c>
      <c r="Y15" s="149"/>
      <c r="Z15" s="102">
        <v>14</v>
      </c>
      <c r="AB15" s="102"/>
      <c r="AC15" s="102"/>
      <c r="AD15" s="342" t="s">
        <v>206</v>
      </c>
      <c r="AE15" s="346">
        <v>5592</v>
      </c>
      <c r="AG15" s="320" t="s">
        <v>238</v>
      </c>
      <c r="AH15" s="421" t="s">
        <v>293</v>
      </c>
      <c r="AI15" s="398"/>
      <c r="AJ15" s="398"/>
      <c r="AK15" s="81"/>
    </row>
    <row r="16" spans="1:37" ht="12.75">
      <c r="A16" s="431" t="s">
        <v>402</v>
      </c>
      <c r="B16" s="10" t="s">
        <v>127</v>
      </c>
      <c r="C16" s="11">
        <v>15</v>
      </c>
      <c r="D16" s="11">
        <v>23</v>
      </c>
      <c r="E16" s="11" t="str">
        <f t="shared" si="0"/>
        <v>S</v>
      </c>
      <c r="F16" s="11" t="str">
        <f t="shared" si="2"/>
        <v>AR</v>
      </c>
      <c r="G16" s="103">
        <v>50.91</v>
      </c>
      <c r="H16" s="12">
        <v>97.9</v>
      </c>
      <c r="I16" s="33">
        <v>0.94</v>
      </c>
      <c r="J16" s="38">
        <v>87.68</v>
      </c>
      <c r="K16" s="11">
        <v>71.86</v>
      </c>
      <c r="L16" s="11">
        <v>52.95</v>
      </c>
      <c r="M16" s="11">
        <v>81</v>
      </c>
      <c r="N16" s="11">
        <v>45.93</v>
      </c>
      <c r="O16" s="11">
        <v>62.44</v>
      </c>
      <c r="P16" s="11">
        <v>27.84</v>
      </c>
      <c r="Q16" s="11">
        <v>1</v>
      </c>
      <c r="R16" s="11">
        <v>1</v>
      </c>
      <c r="S16" s="11">
        <v>41.53</v>
      </c>
      <c r="T16" s="11">
        <v>16.35</v>
      </c>
      <c r="U16" s="11">
        <v>40.7</v>
      </c>
      <c r="V16" s="12">
        <v>55.49</v>
      </c>
      <c r="W16" s="36">
        <v>1</v>
      </c>
      <c r="X16" s="36" t="s">
        <v>54</v>
      </c>
      <c r="Y16" s="149">
        <v>15</v>
      </c>
      <c r="Z16" s="102">
        <v>15</v>
      </c>
      <c r="AA16" s="149"/>
      <c r="AB16" s="102"/>
      <c r="AC16" s="102"/>
      <c r="AD16" s="345" t="s">
        <v>201</v>
      </c>
      <c r="AE16" s="346">
        <v>2294</v>
      </c>
      <c r="AG16" s="320" t="s">
        <v>238</v>
      </c>
      <c r="AH16" s="420" t="s">
        <v>265</v>
      </c>
      <c r="AI16" s="420" t="s">
        <v>265</v>
      </c>
      <c r="AJ16" s="424" t="s">
        <v>265</v>
      </c>
      <c r="AK16" s="421" t="s">
        <v>293</v>
      </c>
    </row>
    <row r="17" spans="1:37" ht="12.75">
      <c r="A17" s="427" t="s">
        <v>402</v>
      </c>
      <c r="B17" s="10" t="s">
        <v>130</v>
      </c>
      <c r="C17" s="11">
        <v>1</v>
      </c>
      <c r="D17" s="11">
        <v>22</v>
      </c>
      <c r="E17" s="11" t="str">
        <f t="shared" si="0"/>
        <v>S</v>
      </c>
      <c r="F17" s="11" t="str">
        <f t="shared" si="2"/>
        <v>AV</v>
      </c>
      <c r="G17" s="103">
        <v>68.41</v>
      </c>
      <c r="H17" s="12">
        <v>61.36</v>
      </c>
      <c r="I17" s="33">
        <v>0.7</v>
      </c>
      <c r="J17" s="38">
        <v>1</v>
      </c>
      <c r="K17" s="11">
        <v>39.74</v>
      </c>
      <c r="L17" s="11">
        <v>1</v>
      </c>
      <c r="M17" s="11">
        <v>4.11</v>
      </c>
      <c r="N17" s="11">
        <v>53.69</v>
      </c>
      <c r="O17" s="11">
        <v>96.59</v>
      </c>
      <c r="P17" s="11">
        <v>1</v>
      </c>
      <c r="Q17" s="11">
        <v>92.75</v>
      </c>
      <c r="R17" s="11">
        <v>101.47</v>
      </c>
      <c r="S17" s="11">
        <v>50.87</v>
      </c>
      <c r="T17" s="11">
        <v>38.14</v>
      </c>
      <c r="U17" s="11">
        <v>66.21</v>
      </c>
      <c r="V17" s="12">
        <v>34.12</v>
      </c>
      <c r="W17" s="36">
        <v>93.68</v>
      </c>
      <c r="X17" s="36" t="s">
        <v>12</v>
      </c>
      <c r="Y17" s="149">
        <v>1</v>
      </c>
      <c r="Z17" s="102">
        <v>16</v>
      </c>
      <c r="AA17" s="149"/>
      <c r="AB17" s="102"/>
      <c r="AC17" s="102"/>
      <c r="AD17" s="330" t="s">
        <v>302</v>
      </c>
      <c r="AE17" s="346">
        <v>5372</v>
      </c>
      <c r="AG17" s="424" t="s">
        <v>265</v>
      </c>
      <c r="AH17" s="424" t="s">
        <v>265</v>
      </c>
      <c r="AI17" s="424" t="s">
        <v>265</v>
      </c>
      <c r="AJ17" s="320" t="s">
        <v>238</v>
      </c>
      <c r="AK17" s="320" t="s">
        <v>238</v>
      </c>
    </row>
    <row r="18" spans="1:37" ht="12.75">
      <c r="A18" s="427" t="s">
        <v>402</v>
      </c>
      <c r="B18" s="10" t="s">
        <v>40</v>
      </c>
      <c r="C18" s="11">
        <v>3</v>
      </c>
      <c r="D18" s="11">
        <v>32</v>
      </c>
      <c r="E18" s="11" t="str">
        <f t="shared" si="0"/>
        <v>S</v>
      </c>
      <c r="F18" s="11" t="str">
        <f t="shared" si="2"/>
        <v>AV</v>
      </c>
      <c r="G18" s="103">
        <v>79.52</v>
      </c>
      <c r="H18" s="12">
        <v>100</v>
      </c>
      <c r="I18" s="33">
        <v>0.76</v>
      </c>
      <c r="J18" s="38">
        <v>1</v>
      </c>
      <c r="K18" s="11">
        <v>32.26</v>
      </c>
      <c r="L18" s="11">
        <v>1</v>
      </c>
      <c r="M18" s="11">
        <v>9.23</v>
      </c>
      <c r="N18" s="11">
        <v>78.62</v>
      </c>
      <c r="O18" s="11">
        <v>105.68</v>
      </c>
      <c r="P18" s="11">
        <v>1</v>
      </c>
      <c r="Q18" s="11">
        <v>102.23</v>
      </c>
      <c r="R18" s="11">
        <v>97.63</v>
      </c>
      <c r="S18" s="11">
        <v>43.64</v>
      </c>
      <c r="T18" s="11">
        <v>61.54</v>
      </c>
      <c r="U18" s="11">
        <v>89.24</v>
      </c>
      <c r="V18" s="12">
        <v>34.77</v>
      </c>
      <c r="W18" s="36">
        <v>100.71</v>
      </c>
      <c r="X18" s="36" t="s">
        <v>12</v>
      </c>
      <c r="Y18" s="149"/>
      <c r="Z18" s="102">
        <v>17</v>
      </c>
      <c r="AB18" s="102"/>
      <c r="AC18" s="102"/>
      <c r="AD18" s="342" t="s">
        <v>206</v>
      </c>
      <c r="AE18" s="346">
        <v>7315</v>
      </c>
      <c r="AG18" s="421" t="s">
        <v>293</v>
      </c>
      <c r="AH18" s="398"/>
      <c r="AI18" s="398"/>
      <c r="AJ18" s="398"/>
      <c r="AK18" s="81"/>
    </row>
    <row r="19" spans="1:37" ht="12.75">
      <c r="A19" s="427" t="s">
        <v>402</v>
      </c>
      <c r="B19" s="10" t="s">
        <v>9</v>
      </c>
      <c r="C19" s="11">
        <v>8</v>
      </c>
      <c r="D19" s="11">
        <v>26</v>
      </c>
      <c r="E19" s="11" t="str">
        <f t="shared" si="0"/>
        <v>S</v>
      </c>
      <c r="F19" s="11" t="str">
        <f t="shared" si="2"/>
        <v>AV</v>
      </c>
      <c r="G19" s="103">
        <v>66.73</v>
      </c>
      <c r="H19" s="12">
        <v>100</v>
      </c>
      <c r="I19" s="33">
        <v>0.69</v>
      </c>
      <c r="J19" s="38">
        <v>1</v>
      </c>
      <c r="K19" s="11">
        <v>61.49</v>
      </c>
      <c r="L19" s="11">
        <v>1</v>
      </c>
      <c r="M19" s="11">
        <v>82.5</v>
      </c>
      <c r="N19" s="11">
        <v>50.02</v>
      </c>
      <c r="O19" s="11">
        <v>90.33</v>
      </c>
      <c r="P19" s="11">
        <v>1</v>
      </c>
      <c r="Q19" s="11">
        <v>88.12</v>
      </c>
      <c r="R19" s="11">
        <v>95.93</v>
      </c>
      <c r="S19" s="11">
        <v>64.83</v>
      </c>
      <c r="T19" s="11">
        <v>20.38</v>
      </c>
      <c r="U19" s="11">
        <v>72.75</v>
      </c>
      <c r="V19" s="12">
        <v>57.31</v>
      </c>
      <c r="W19" s="36">
        <v>98.79</v>
      </c>
      <c r="X19" s="36" t="s">
        <v>49</v>
      </c>
      <c r="Y19" s="149"/>
      <c r="Z19" s="102">
        <v>18</v>
      </c>
      <c r="AB19" s="102"/>
      <c r="AC19" s="102"/>
      <c r="AD19" s="342" t="s">
        <v>206</v>
      </c>
      <c r="AE19" s="346">
        <v>4640</v>
      </c>
      <c r="AG19" s="421" t="s">
        <v>293</v>
      </c>
      <c r="AH19" s="398"/>
      <c r="AI19" s="398"/>
      <c r="AJ19" s="398"/>
      <c r="AK19" s="81"/>
    </row>
    <row r="20" spans="1:37" ht="12.75">
      <c r="A20" s="427" t="s">
        <v>402</v>
      </c>
      <c r="B20" s="10" t="s">
        <v>100</v>
      </c>
      <c r="C20" s="11">
        <v>7</v>
      </c>
      <c r="D20" s="11">
        <v>22</v>
      </c>
      <c r="E20" s="11" t="str">
        <f t="shared" si="0"/>
        <v>S</v>
      </c>
      <c r="F20" s="11" t="str">
        <f t="shared" si="2"/>
        <v>AV</v>
      </c>
      <c r="G20" s="103">
        <v>70.99</v>
      </c>
      <c r="H20" s="12">
        <v>61.36</v>
      </c>
      <c r="I20" s="33">
        <v>0.74</v>
      </c>
      <c r="J20" s="38">
        <v>1</v>
      </c>
      <c r="K20" s="11">
        <v>58.39</v>
      </c>
      <c r="L20" s="11">
        <v>1</v>
      </c>
      <c r="M20" s="11">
        <v>37.53</v>
      </c>
      <c r="N20" s="11">
        <v>57.48</v>
      </c>
      <c r="O20" s="11">
        <v>94.48</v>
      </c>
      <c r="P20" s="11">
        <v>1</v>
      </c>
      <c r="Q20" s="11">
        <v>98.25</v>
      </c>
      <c r="R20" s="11">
        <v>100.06</v>
      </c>
      <c r="S20" s="11">
        <v>47.67</v>
      </c>
      <c r="T20" s="11">
        <v>50.05</v>
      </c>
      <c r="U20" s="11">
        <v>75.09</v>
      </c>
      <c r="V20" s="12">
        <v>46.97</v>
      </c>
      <c r="W20" s="36">
        <v>92.88</v>
      </c>
      <c r="X20" s="36" t="s">
        <v>14</v>
      </c>
      <c r="Y20" s="149">
        <v>7</v>
      </c>
      <c r="Z20" s="102">
        <v>19</v>
      </c>
      <c r="AA20" s="149"/>
      <c r="AB20" s="102"/>
      <c r="AC20" s="102"/>
      <c r="AD20" s="332" t="s">
        <v>205</v>
      </c>
      <c r="AE20" s="346">
        <v>5935</v>
      </c>
      <c r="AG20" s="424" t="s">
        <v>265</v>
      </c>
      <c r="AH20" s="424" t="s">
        <v>265</v>
      </c>
      <c r="AI20" s="320" t="s">
        <v>238</v>
      </c>
      <c r="AJ20" s="398"/>
      <c r="AK20" s="81"/>
    </row>
    <row r="21" spans="1:37" ht="12.75">
      <c r="A21" s="426" t="s">
        <v>402</v>
      </c>
      <c r="B21" s="10" t="s">
        <v>20</v>
      </c>
      <c r="C21" s="11">
        <v>14</v>
      </c>
      <c r="D21" s="11">
        <v>34</v>
      </c>
      <c r="E21" s="11" t="str">
        <f t="shared" si="0"/>
        <v>S</v>
      </c>
      <c r="F21" s="11" t="str">
        <f t="shared" si="2"/>
        <v>TQ</v>
      </c>
      <c r="G21" s="103">
        <v>77.89</v>
      </c>
      <c r="H21" s="12">
        <v>100</v>
      </c>
      <c r="I21" s="33">
        <v>0.73</v>
      </c>
      <c r="J21" s="38">
        <v>4.49</v>
      </c>
      <c r="K21" s="11">
        <v>88.96</v>
      </c>
      <c r="L21" s="11">
        <v>45.36</v>
      </c>
      <c r="M21" s="11">
        <v>99.32</v>
      </c>
      <c r="N21" s="11">
        <v>76.31</v>
      </c>
      <c r="O21" s="11">
        <v>104.47</v>
      </c>
      <c r="P21" s="11">
        <v>1.41</v>
      </c>
      <c r="Q21" s="11">
        <v>3.3</v>
      </c>
      <c r="R21" s="11">
        <v>1</v>
      </c>
      <c r="S21" s="11">
        <v>69.07</v>
      </c>
      <c r="T21" s="11">
        <v>50.74</v>
      </c>
      <c r="U21" s="11">
        <v>86.51</v>
      </c>
      <c r="V21" s="12">
        <v>88.57</v>
      </c>
      <c r="W21" s="36">
        <v>1</v>
      </c>
      <c r="X21" s="36" t="s">
        <v>52</v>
      </c>
      <c r="Y21" s="149"/>
      <c r="Z21" s="102">
        <v>20</v>
      </c>
      <c r="AB21" s="102"/>
      <c r="AC21" s="102"/>
      <c r="AD21" s="342" t="s">
        <v>206</v>
      </c>
      <c r="AE21" s="346">
        <v>6092</v>
      </c>
      <c r="AG21" s="420" t="s">
        <v>265</v>
      </c>
      <c r="AH21" s="421" t="s">
        <v>293</v>
      </c>
      <c r="AI21" s="398"/>
      <c r="AJ21" s="398"/>
      <c r="AK21" s="81"/>
    </row>
    <row r="22" spans="1:37" ht="12.75">
      <c r="A22" s="428" t="s">
        <v>402</v>
      </c>
      <c r="B22" s="104" t="s">
        <v>128</v>
      </c>
      <c r="C22" s="11">
        <v>10</v>
      </c>
      <c r="D22" s="11">
        <v>22</v>
      </c>
      <c r="E22" s="11" t="str">
        <f t="shared" si="0"/>
        <v>S</v>
      </c>
      <c r="F22" s="11" t="str">
        <f>IF(C22&lt;0,"",IF(C22&lt;9,"AV",IF(C22&lt;11,"CH",IF(C22&lt;15,"TQ","AR"))))</f>
        <v>CH</v>
      </c>
      <c r="G22" s="103">
        <v>56.36</v>
      </c>
      <c r="H22" s="12">
        <v>60.86</v>
      </c>
      <c r="I22" s="33">
        <v>0.66</v>
      </c>
      <c r="J22" s="38">
        <v>17.85</v>
      </c>
      <c r="K22" s="11">
        <v>70.03</v>
      </c>
      <c r="L22" s="11">
        <v>67.3</v>
      </c>
      <c r="M22" s="11">
        <v>37.98</v>
      </c>
      <c r="N22" s="11">
        <v>50.75</v>
      </c>
      <c r="O22" s="11">
        <v>97.33</v>
      </c>
      <c r="P22" s="11">
        <v>11.18</v>
      </c>
      <c r="Q22" s="11">
        <v>27.8</v>
      </c>
      <c r="R22" s="11">
        <v>1</v>
      </c>
      <c r="S22" s="11">
        <v>81.05</v>
      </c>
      <c r="T22" s="11">
        <v>26.42</v>
      </c>
      <c r="U22" s="11">
        <v>38.01</v>
      </c>
      <c r="V22" s="12">
        <v>39.88</v>
      </c>
      <c r="W22" s="36">
        <v>1</v>
      </c>
      <c r="X22" s="36" t="s">
        <v>51</v>
      </c>
      <c r="Y22" s="149">
        <v>12</v>
      </c>
      <c r="Z22" s="102">
        <v>21</v>
      </c>
      <c r="AA22" s="149"/>
      <c r="AB22" s="102"/>
      <c r="AC22" s="102"/>
      <c r="AD22" s="342" t="s">
        <v>206</v>
      </c>
      <c r="AE22" s="346">
        <v>3196</v>
      </c>
      <c r="AG22" s="435" t="s">
        <v>265</v>
      </c>
      <c r="AH22" s="424" t="s">
        <v>265</v>
      </c>
      <c r="AI22" s="424" t="s">
        <v>265</v>
      </c>
      <c r="AJ22" s="421" t="s">
        <v>293</v>
      </c>
      <c r="AK22" s="81"/>
    </row>
    <row r="23" spans="1:37" ht="12.75">
      <c r="A23" s="431" t="s">
        <v>402</v>
      </c>
      <c r="B23" s="91" t="s">
        <v>47</v>
      </c>
      <c r="C23" s="11">
        <v>15</v>
      </c>
      <c r="D23" s="11">
        <v>29</v>
      </c>
      <c r="E23" s="11" t="str">
        <f t="shared" si="0"/>
        <v>S</v>
      </c>
      <c r="F23" s="11" t="str">
        <f>IF(C23="","",IF(C23&lt;9,"AV",IF(C23&lt;11,"CH",IF(C23&lt;15,"TQ","AR"))))</f>
        <v>AR</v>
      </c>
      <c r="G23" s="103">
        <v>63.83</v>
      </c>
      <c r="H23" s="12">
        <v>100</v>
      </c>
      <c r="I23" s="33">
        <v>0.71</v>
      </c>
      <c r="J23" s="38">
        <v>80.49</v>
      </c>
      <c r="K23" s="11">
        <v>79.72</v>
      </c>
      <c r="L23" s="11">
        <v>68.53</v>
      </c>
      <c r="M23" s="11">
        <v>82.49</v>
      </c>
      <c r="N23" s="11">
        <v>63.96</v>
      </c>
      <c r="O23" s="11">
        <v>78.99</v>
      </c>
      <c r="P23" s="11">
        <v>39.41</v>
      </c>
      <c r="Q23" s="11">
        <v>1.21</v>
      </c>
      <c r="R23" s="11">
        <v>1</v>
      </c>
      <c r="S23" s="11">
        <v>63.52</v>
      </c>
      <c r="T23" s="11">
        <v>19.6</v>
      </c>
      <c r="U23" s="11">
        <v>62.45</v>
      </c>
      <c r="V23" s="12">
        <v>68.95</v>
      </c>
      <c r="W23" s="36">
        <v>1</v>
      </c>
      <c r="X23" s="36" t="s">
        <v>54</v>
      </c>
      <c r="Y23" s="149"/>
      <c r="Z23" s="102">
        <v>22</v>
      </c>
      <c r="AB23" s="102"/>
      <c r="AC23" s="102"/>
      <c r="AD23" s="342" t="s">
        <v>206</v>
      </c>
      <c r="AE23" s="346">
        <v>3822</v>
      </c>
      <c r="AG23" s="421" t="s">
        <v>293</v>
      </c>
      <c r="AH23" s="398"/>
      <c r="AI23" s="398"/>
      <c r="AJ23" s="398"/>
      <c r="AK23" s="81"/>
    </row>
    <row r="24" spans="1:37" ht="12.75">
      <c r="A24" s="427" t="s">
        <v>402</v>
      </c>
      <c r="B24" s="10" t="s">
        <v>121</v>
      </c>
      <c r="C24" s="11">
        <v>1</v>
      </c>
      <c r="D24" s="11">
        <v>21</v>
      </c>
      <c r="E24" s="11" t="str">
        <f t="shared" si="0"/>
        <v>E</v>
      </c>
      <c r="F24" s="11" t="str">
        <f>IF(C24&lt;0,"",IF(C24&lt;9,"AV",IF(C24&lt;11,"CH",IF(C24&lt;15,"TQ","AR"))))</f>
        <v>AV</v>
      </c>
      <c r="G24" s="103">
        <v>57.94</v>
      </c>
      <c r="H24" s="12">
        <v>100</v>
      </c>
      <c r="I24" s="33">
        <v>0.88</v>
      </c>
      <c r="J24" s="38">
        <v>1</v>
      </c>
      <c r="K24" s="11">
        <v>30.01</v>
      </c>
      <c r="L24" s="11">
        <v>1</v>
      </c>
      <c r="M24" s="11">
        <v>5.71</v>
      </c>
      <c r="N24" s="11">
        <v>43.71</v>
      </c>
      <c r="O24" s="11">
        <v>80.71</v>
      </c>
      <c r="P24" s="11">
        <v>1</v>
      </c>
      <c r="Q24" s="11">
        <v>83.77</v>
      </c>
      <c r="R24" s="11">
        <v>88.86</v>
      </c>
      <c r="S24" s="11">
        <v>36.48</v>
      </c>
      <c r="T24" s="11">
        <v>33.31</v>
      </c>
      <c r="U24" s="11">
        <v>53.44</v>
      </c>
      <c r="V24" s="12">
        <v>15.51</v>
      </c>
      <c r="W24" s="36">
        <v>93.56</v>
      </c>
      <c r="X24" s="36" t="s">
        <v>12</v>
      </c>
      <c r="Y24" s="149"/>
      <c r="Z24" s="102"/>
      <c r="AA24" s="149"/>
      <c r="AB24" s="102">
        <v>1</v>
      </c>
      <c r="AC24" s="102"/>
      <c r="AD24" s="342" t="s">
        <v>206</v>
      </c>
      <c r="AE24" s="346">
        <v>2854</v>
      </c>
      <c r="AG24" s="423" t="s">
        <v>239</v>
      </c>
      <c r="AH24" s="424" t="s">
        <v>265</v>
      </c>
      <c r="AI24" s="398"/>
      <c r="AJ24" s="398"/>
      <c r="AK24" s="81"/>
    </row>
    <row r="25" spans="1:37" ht="12.75">
      <c r="A25" s="427" t="s">
        <v>402</v>
      </c>
      <c r="B25" s="92" t="s">
        <v>185</v>
      </c>
      <c r="C25" s="11">
        <v>2</v>
      </c>
      <c r="D25" s="11">
        <v>20</v>
      </c>
      <c r="E25" s="11" t="str">
        <f t="shared" si="0"/>
        <v>E</v>
      </c>
      <c r="F25" s="11" t="str">
        <f>IF(C25="","",IF(C25&lt;9,"AV",IF(C25&lt;11,"CH",IF(C25&lt;15,"TQ","AR"))))</f>
        <v>AV</v>
      </c>
      <c r="G25" s="103">
        <v>47.65</v>
      </c>
      <c r="H25" s="12">
        <v>85.28</v>
      </c>
      <c r="I25" s="33">
        <v>0.96</v>
      </c>
      <c r="J25" s="38">
        <v>1</v>
      </c>
      <c r="K25" s="11">
        <v>25.51</v>
      </c>
      <c r="L25" s="11">
        <v>1</v>
      </c>
      <c r="M25" s="11">
        <v>4.33</v>
      </c>
      <c r="N25" s="11">
        <v>32.72</v>
      </c>
      <c r="O25" s="11">
        <v>72.07</v>
      </c>
      <c r="P25" s="11">
        <v>1</v>
      </c>
      <c r="Q25" s="11">
        <v>44.09</v>
      </c>
      <c r="R25" s="11">
        <v>73.26</v>
      </c>
      <c r="S25" s="11">
        <v>35.23</v>
      </c>
      <c r="T25" s="11">
        <v>25.04</v>
      </c>
      <c r="U25" s="11">
        <v>40.52</v>
      </c>
      <c r="V25" s="12">
        <v>8.58</v>
      </c>
      <c r="W25" s="32">
        <v>60.73</v>
      </c>
      <c r="X25" s="36" t="s">
        <v>12</v>
      </c>
      <c r="Y25" s="149"/>
      <c r="Z25" s="102"/>
      <c r="AA25" s="149"/>
      <c r="AB25" s="102">
        <v>2</v>
      </c>
      <c r="AC25" s="102"/>
      <c r="AD25" s="332" t="s">
        <v>205</v>
      </c>
      <c r="AE25" s="346">
        <v>1669</v>
      </c>
      <c r="AG25" s="423" t="s">
        <v>239</v>
      </c>
      <c r="AH25" s="423" t="s">
        <v>239</v>
      </c>
      <c r="AI25" s="424" t="s">
        <v>265</v>
      </c>
      <c r="AJ25" s="424" t="s">
        <v>265</v>
      </c>
      <c r="AK25" s="424" t="s">
        <v>265</v>
      </c>
    </row>
    <row r="26" spans="1:37" ht="12.75">
      <c r="A26" s="427" t="s">
        <v>402</v>
      </c>
      <c r="B26" s="10" t="s">
        <v>122</v>
      </c>
      <c r="C26" s="11">
        <v>3</v>
      </c>
      <c r="D26" s="11">
        <v>21</v>
      </c>
      <c r="E26" s="11" t="str">
        <f t="shared" si="0"/>
        <v>E</v>
      </c>
      <c r="F26" s="11" t="str">
        <f>IF(C26&lt;0,"",IF(C26&lt;9,"AV",IF(C26&lt;11,"CH",IF(C26&lt;15,"TQ","AR"))))</f>
        <v>AV</v>
      </c>
      <c r="G26" s="103">
        <v>72.87</v>
      </c>
      <c r="H26" s="12">
        <v>100</v>
      </c>
      <c r="I26" s="33">
        <v>0.9</v>
      </c>
      <c r="J26" s="38">
        <v>1</v>
      </c>
      <c r="K26" s="11">
        <v>29.64</v>
      </c>
      <c r="L26" s="11">
        <v>1</v>
      </c>
      <c r="M26" s="11">
        <v>4.11</v>
      </c>
      <c r="N26" s="11">
        <v>57.41</v>
      </c>
      <c r="O26" s="11">
        <v>104.85</v>
      </c>
      <c r="P26" s="11">
        <v>1</v>
      </c>
      <c r="Q26" s="11">
        <v>95.86</v>
      </c>
      <c r="R26" s="11">
        <v>99.76</v>
      </c>
      <c r="S26" s="11">
        <v>37.78</v>
      </c>
      <c r="T26" s="11">
        <v>56.14</v>
      </c>
      <c r="U26" s="11">
        <v>69.23</v>
      </c>
      <c r="V26" s="12">
        <v>28.99</v>
      </c>
      <c r="W26" s="36">
        <v>101.33</v>
      </c>
      <c r="X26" s="36" t="s">
        <v>12</v>
      </c>
      <c r="Y26" s="149"/>
      <c r="Z26" s="102"/>
      <c r="AA26" s="149"/>
      <c r="AB26" s="102">
        <v>3</v>
      </c>
      <c r="AC26" s="102"/>
      <c r="AD26" s="342" t="s">
        <v>206</v>
      </c>
      <c r="AE26" s="346">
        <v>5706</v>
      </c>
      <c r="AG26" s="423" t="s">
        <v>239</v>
      </c>
      <c r="AH26" s="320" t="s">
        <v>238</v>
      </c>
      <c r="AI26" s="320" t="s">
        <v>238</v>
      </c>
      <c r="AJ26" s="320" t="s">
        <v>238</v>
      </c>
      <c r="AK26" s="320" t="s">
        <v>238</v>
      </c>
    </row>
    <row r="27" spans="1:37" ht="13.5" customHeight="1">
      <c r="A27" s="427" t="s">
        <v>402</v>
      </c>
      <c r="B27" s="232" t="s">
        <v>153</v>
      </c>
      <c r="C27" s="194">
        <v>4</v>
      </c>
      <c r="D27" s="194">
        <v>21</v>
      </c>
      <c r="E27" s="11" t="str">
        <f t="shared" si="0"/>
        <v>E</v>
      </c>
      <c r="F27" s="194" t="str">
        <f aca="true" t="shared" si="3" ref="F27:F32">IF(C27="","",IF(C27&lt;9,"AV",IF(C27&lt;11,"CH",IF(C27&lt;15,"TQ","AR"))))</f>
        <v>AV</v>
      </c>
      <c r="G27" s="231">
        <v>76.08</v>
      </c>
      <c r="H27" s="196">
        <v>100</v>
      </c>
      <c r="I27" s="33">
        <v>0.9</v>
      </c>
      <c r="J27" s="197">
        <v>1</v>
      </c>
      <c r="K27" s="194">
        <v>30.67</v>
      </c>
      <c r="L27" s="194">
        <v>1</v>
      </c>
      <c r="M27" s="194">
        <v>3.95</v>
      </c>
      <c r="N27" s="194">
        <v>60.29</v>
      </c>
      <c r="O27" s="194">
        <v>104.66</v>
      </c>
      <c r="P27" s="194">
        <v>1</v>
      </c>
      <c r="Q27" s="194">
        <v>101.58</v>
      </c>
      <c r="R27" s="194">
        <v>101.99</v>
      </c>
      <c r="S27" s="194">
        <v>50.67</v>
      </c>
      <c r="T27" s="194">
        <v>54.78</v>
      </c>
      <c r="U27" s="194">
        <v>71.49</v>
      </c>
      <c r="V27" s="196">
        <v>32.08</v>
      </c>
      <c r="W27" s="36">
        <v>102.98</v>
      </c>
      <c r="X27" s="36" t="s">
        <v>13</v>
      </c>
      <c r="Y27" s="149"/>
      <c r="Z27" s="149"/>
      <c r="AA27" s="149"/>
      <c r="AB27" s="149">
        <v>4</v>
      </c>
      <c r="AC27" s="102"/>
      <c r="AD27" s="394" t="s">
        <v>295</v>
      </c>
      <c r="AE27" s="346">
        <v>6326</v>
      </c>
      <c r="AG27" s="423" t="s">
        <v>239</v>
      </c>
      <c r="AH27" s="320" t="s">
        <v>238</v>
      </c>
      <c r="AI27" s="320" t="s">
        <v>238</v>
      </c>
      <c r="AJ27" s="398"/>
      <c r="AK27" s="81"/>
    </row>
    <row r="28" spans="1:37" ht="12.75">
      <c r="A28" s="427" t="s">
        <v>402</v>
      </c>
      <c r="B28" s="230" t="s">
        <v>146</v>
      </c>
      <c r="C28" s="194">
        <v>8</v>
      </c>
      <c r="D28" s="194">
        <v>21</v>
      </c>
      <c r="E28" s="194" t="str">
        <f t="shared" si="0"/>
        <v>E</v>
      </c>
      <c r="F28" s="194" t="str">
        <f t="shared" si="3"/>
        <v>AV</v>
      </c>
      <c r="G28" s="231">
        <v>49.64</v>
      </c>
      <c r="H28" s="196">
        <v>100</v>
      </c>
      <c r="I28" s="33">
        <v>0.96</v>
      </c>
      <c r="J28" s="197">
        <v>1</v>
      </c>
      <c r="K28" s="194">
        <v>32.09</v>
      </c>
      <c r="L28" s="194">
        <v>1</v>
      </c>
      <c r="M28" s="194">
        <v>7.53</v>
      </c>
      <c r="N28" s="194">
        <v>33.38</v>
      </c>
      <c r="O28" s="194">
        <v>72.66</v>
      </c>
      <c r="P28" s="194">
        <v>1</v>
      </c>
      <c r="Q28" s="194">
        <v>81.23</v>
      </c>
      <c r="R28" s="194">
        <v>79.86</v>
      </c>
      <c r="S28" s="194">
        <v>40.64</v>
      </c>
      <c r="T28" s="194">
        <v>21.5</v>
      </c>
      <c r="U28" s="194">
        <v>48.7</v>
      </c>
      <c r="V28" s="196">
        <v>14.41</v>
      </c>
      <c r="W28" s="36">
        <v>79.53</v>
      </c>
      <c r="X28" s="36" t="s">
        <v>49</v>
      </c>
      <c r="Y28" s="149"/>
      <c r="Z28" s="149"/>
      <c r="AA28" s="149"/>
      <c r="AB28" s="149">
        <v>5</v>
      </c>
      <c r="AC28" s="102"/>
      <c r="AD28" s="342" t="s">
        <v>206</v>
      </c>
      <c r="AE28" s="346">
        <v>1818</v>
      </c>
      <c r="AG28" s="423" t="s">
        <v>239</v>
      </c>
      <c r="AH28" s="421" t="s">
        <v>293</v>
      </c>
      <c r="AI28" s="398"/>
      <c r="AJ28" s="398"/>
      <c r="AK28" s="81"/>
    </row>
    <row r="29" spans="1:37" ht="12.75">
      <c r="A29" s="427" t="s">
        <v>402</v>
      </c>
      <c r="B29" s="10" t="s">
        <v>162</v>
      </c>
      <c r="C29" s="194">
        <v>8</v>
      </c>
      <c r="D29" s="194">
        <v>21</v>
      </c>
      <c r="E29" s="11" t="str">
        <f t="shared" si="0"/>
        <v>E</v>
      </c>
      <c r="F29" s="194" t="str">
        <f t="shared" si="3"/>
        <v>AV</v>
      </c>
      <c r="G29" s="231">
        <v>70.5</v>
      </c>
      <c r="H29" s="196">
        <v>100</v>
      </c>
      <c r="I29" s="33">
        <v>0.9</v>
      </c>
      <c r="J29" s="197">
        <v>1</v>
      </c>
      <c r="K29" s="194">
        <v>36.14</v>
      </c>
      <c r="L29" s="194">
        <v>1</v>
      </c>
      <c r="M29" s="194">
        <v>11.82</v>
      </c>
      <c r="N29" s="194">
        <v>59.16</v>
      </c>
      <c r="O29" s="194">
        <v>106.07</v>
      </c>
      <c r="P29" s="194">
        <v>1</v>
      </c>
      <c r="Q29" s="194">
        <v>97.33</v>
      </c>
      <c r="R29" s="194">
        <v>95.76</v>
      </c>
      <c r="S29" s="194">
        <v>47.85</v>
      </c>
      <c r="T29" s="194">
        <v>52.21</v>
      </c>
      <c r="U29" s="194">
        <v>61.95</v>
      </c>
      <c r="V29" s="196">
        <v>25.6</v>
      </c>
      <c r="W29" s="36">
        <v>99.95</v>
      </c>
      <c r="X29" s="36" t="s">
        <v>49</v>
      </c>
      <c r="Y29" s="149"/>
      <c r="Z29" s="149"/>
      <c r="AA29" s="149"/>
      <c r="AB29" s="149">
        <v>6</v>
      </c>
      <c r="AC29" s="102"/>
      <c r="AD29" s="329" t="s">
        <v>224</v>
      </c>
      <c r="AE29" s="346">
        <v>5286</v>
      </c>
      <c r="AG29" s="423" t="s">
        <v>239</v>
      </c>
      <c r="AH29" s="420" t="s">
        <v>265</v>
      </c>
      <c r="AI29" s="320" t="s">
        <v>238</v>
      </c>
      <c r="AJ29" s="398"/>
      <c r="AK29" s="81"/>
    </row>
    <row r="30" spans="1:37" ht="12.75">
      <c r="A30" s="427" t="s">
        <v>402</v>
      </c>
      <c r="B30" s="10" t="s">
        <v>161</v>
      </c>
      <c r="C30" s="11">
        <v>8</v>
      </c>
      <c r="D30" s="11">
        <v>21</v>
      </c>
      <c r="E30" s="11" t="str">
        <f t="shared" si="0"/>
        <v>E</v>
      </c>
      <c r="F30" s="11" t="str">
        <f t="shared" si="3"/>
        <v>AV</v>
      </c>
      <c r="G30" s="103">
        <v>72.84</v>
      </c>
      <c r="H30" s="12">
        <v>100</v>
      </c>
      <c r="I30" s="33">
        <v>0.9</v>
      </c>
      <c r="J30" s="38">
        <v>1</v>
      </c>
      <c r="K30" s="11">
        <v>48.79</v>
      </c>
      <c r="L30" s="11">
        <v>1</v>
      </c>
      <c r="M30" s="11">
        <v>13.48</v>
      </c>
      <c r="N30" s="11">
        <v>60.35</v>
      </c>
      <c r="O30" s="11">
        <v>101.49</v>
      </c>
      <c r="P30" s="11">
        <v>1</v>
      </c>
      <c r="Q30" s="11">
        <v>96.63</v>
      </c>
      <c r="R30" s="11">
        <v>98.87</v>
      </c>
      <c r="S30" s="11">
        <v>54.56</v>
      </c>
      <c r="T30" s="11">
        <v>59.78</v>
      </c>
      <c r="U30" s="11">
        <v>68.37</v>
      </c>
      <c r="V30" s="12">
        <v>23.47</v>
      </c>
      <c r="W30" s="36">
        <v>101.57</v>
      </c>
      <c r="X30" s="36" t="s">
        <v>49</v>
      </c>
      <c r="Y30" s="149"/>
      <c r="Z30" s="102"/>
      <c r="AA30" s="149"/>
      <c r="AB30" s="102">
        <v>7</v>
      </c>
      <c r="AC30" s="102"/>
      <c r="AD30" s="343" t="s">
        <v>300</v>
      </c>
      <c r="AE30" s="346">
        <v>6012</v>
      </c>
      <c r="AG30" s="423" t="s">
        <v>239</v>
      </c>
      <c r="AH30" s="424" t="s">
        <v>265</v>
      </c>
      <c r="AI30" s="320" t="s">
        <v>238</v>
      </c>
      <c r="AJ30" s="398"/>
      <c r="AK30" s="81"/>
    </row>
    <row r="31" spans="1:37" ht="12.75">
      <c r="A31" s="427" t="s">
        <v>402</v>
      </c>
      <c r="B31" s="10" t="s">
        <v>133</v>
      </c>
      <c r="C31" s="11">
        <v>8</v>
      </c>
      <c r="D31" s="11">
        <v>21</v>
      </c>
      <c r="E31" s="11" t="str">
        <f t="shared" si="0"/>
        <v>E</v>
      </c>
      <c r="F31" s="11" t="str">
        <f t="shared" si="3"/>
        <v>AV</v>
      </c>
      <c r="G31" s="103">
        <v>76.07</v>
      </c>
      <c r="H31" s="12">
        <v>100</v>
      </c>
      <c r="I31" s="33">
        <v>0.9</v>
      </c>
      <c r="J31" s="38">
        <v>1</v>
      </c>
      <c r="K31" s="11">
        <v>65.6</v>
      </c>
      <c r="L31" s="11">
        <v>1</v>
      </c>
      <c r="M31" s="11">
        <v>32.06</v>
      </c>
      <c r="N31" s="11">
        <v>65.34</v>
      </c>
      <c r="O31" s="11">
        <v>102.2</v>
      </c>
      <c r="P31" s="11">
        <v>1</v>
      </c>
      <c r="Q31" s="11">
        <v>96.28</v>
      </c>
      <c r="R31" s="11">
        <v>98.2</v>
      </c>
      <c r="S31" s="11">
        <v>57.62</v>
      </c>
      <c r="T31" s="11">
        <v>55.79</v>
      </c>
      <c r="U31" s="11">
        <v>82.95</v>
      </c>
      <c r="V31" s="12">
        <v>43.53</v>
      </c>
      <c r="W31" s="36">
        <v>99.64</v>
      </c>
      <c r="X31" s="36" t="s">
        <v>49</v>
      </c>
      <c r="Y31" s="149"/>
      <c r="Z31" s="102"/>
      <c r="AA31" s="149"/>
      <c r="AB31" s="102">
        <v>8</v>
      </c>
      <c r="AC31" s="102"/>
      <c r="AD31" s="342" t="s">
        <v>206</v>
      </c>
      <c r="AE31" s="346">
        <v>6683</v>
      </c>
      <c r="AG31" s="423" t="s">
        <v>239</v>
      </c>
      <c r="AH31" s="320" t="s">
        <v>238</v>
      </c>
      <c r="AI31" s="320" t="s">
        <v>238</v>
      </c>
      <c r="AJ31" s="398"/>
      <c r="AK31" s="81"/>
    </row>
    <row r="32" spans="1:37" ht="12.75">
      <c r="A32" s="428" t="s">
        <v>402</v>
      </c>
      <c r="B32" s="10" t="s">
        <v>158</v>
      </c>
      <c r="C32" s="194">
        <v>9</v>
      </c>
      <c r="D32" s="194">
        <v>21</v>
      </c>
      <c r="E32" s="11" t="str">
        <f t="shared" si="0"/>
        <v>E</v>
      </c>
      <c r="F32" s="194" t="str">
        <f t="shared" si="3"/>
        <v>CH</v>
      </c>
      <c r="G32" s="231">
        <v>57.74</v>
      </c>
      <c r="H32" s="196">
        <v>100</v>
      </c>
      <c r="I32" s="33">
        <v>0.88</v>
      </c>
      <c r="J32" s="197">
        <v>26.99</v>
      </c>
      <c r="K32" s="194">
        <v>55.99</v>
      </c>
      <c r="L32" s="194">
        <v>60.81</v>
      </c>
      <c r="M32" s="194">
        <v>24.65</v>
      </c>
      <c r="N32" s="194">
        <v>52.53</v>
      </c>
      <c r="O32" s="194">
        <v>102.27</v>
      </c>
      <c r="P32" s="194">
        <v>12.6</v>
      </c>
      <c r="Q32" s="194">
        <v>84.58</v>
      </c>
      <c r="R32" s="194">
        <v>14.08</v>
      </c>
      <c r="S32" s="194">
        <v>84.45</v>
      </c>
      <c r="T32" s="194">
        <v>32.19</v>
      </c>
      <c r="U32" s="194">
        <v>59.8</v>
      </c>
      <c r="V32" s="196">
        <v>66.8</v>
      </c>
      <c r="W32" s="36">
        <v>16.74</v>
      </c>
      <c r="X32" s="36" t="s">
        <v>50</v>
      </c>
      <c r="Y32" s="149"/>
      <c r="Z32" s="149"/>
      <c r="AA32" s="149"/>
      <c r="AB32" s="149">
        <v>9</v>
      </c>
      <c r="AC32" s="102"/>
      <c r="AD32" s="338" t="s">
        <v>222</v>
      </c>
      <c r="AE32" s="346">
        <v>3099</v>
      </c>
      <c r="AG32" s="423" t="s">
        <v>239</v>
      </c>
      <c r="AH32" s="424" t="s">
        <v>265</v>
      </c>
      <c r="AI32" s="424" t="s">
        <v>265</v>
      </c>
      <c r="AJ32" s="320" t="s">
        <v>238</v>
      </c>
      <c r="AK32" s="320" t="s">
        <v>238</v>
      </c>
    </row>
    <row r="33" spans="1:37" ht="12.75">
      <c r="A33" s="431" t="s">
        <v>402</v>
      </c>
      <c r="B33" s="172" t="s">
        <v>16</v>
      </c>
      <c r="C33" s="11">
        <v>15</v>
      </c>
      <c r="D33" s="11">
        <v>21</v>
      </c>
      <c r="E33" s="11" t="str">
        <f t="shared" si="0"/>
        <v>E</v>
      </c>
      <c r="F33" s="11" t="str">
        <f>IF(C33&lt;0,"",IF(C33&lt;9,"AV",IF(C33&lt;11,"CH",IF(C33&lt;15,"TQ","AR"))))</f>
        <v>AR</v>
      </c>
      <c r="G33" s="103">
        <v>63.75</v>
      </c>
      <c r="H33" s="12">
        <v>100</v>
      </c>
      <c r="I33" s="33">
        <v>0.9</v>
      </c>
      <c r="J33" s="38">
        <v>76.23</v>
      </c>
      <c r="K33" s="11">
        <v>76</v>
      </c>
      <c r="L33" s="11">
        <v>48.13</v>
      </c>
      <c r="M33" s="11">
        <v>42.1</v>
      </c>
      <c r="N33" s="11">
        <v>49.75</v>
      </c>
      <c r="O33" s="11">
        <v>85.21</v>
      </c>
      <c r="P33" s="11">
        <v>13.83</v>
      </c>
      <c r="Q33" s="11">
        <v>1.76</v>
      </c>
      <c r="R33" s="11">
        <v>1</v>
      </c>
      <c r="S33" s="11">
        <v>74.62</v>
      </c>
      <c r="T33" s="11">
        <v>49.98</v>
      </c>
      <c r="U33" s="11">
        <v>62.61</v>
      </c>
      <c r="V33" s="12">
        <v>59.94</v>
      </c>
      <c r="W33" s="36">
        <v>1</v>
      </c>
      <c r="X33" s="36" t="s">
        <v>54</v>
      </c>
      <c r="Y33" s="149"/>
      <c r="Z33" s="102"/>
      <c r="AA33" s="149"/>
      <c r="AB33" s="102">
        <v>10</v>
      </c>
      <c r="AC33" s="102"/>
      <c r="AD33" s="350" t="s">
        <v>306</v>
      </c>
      <c r="AE33" s="346">
        <v>3655</v>
      </c>
      <c r="AG33" s="423" t="s">
        <v>239</v>
      </c>
      <c r="AH33" s="320" t="s">
        <v>238</v>
      </c>
      <c r="AI33" s="320" t="s">
        <v>238</v>
      </c>
      <c r="AJ33" s="320" t="s">
        <v>238</v>
      </c>
      <c r="AK33" s="320" t="s">
        <v>238</v>
      </c>
    </row>
    <row r="34" spans="1:37" ht="12.75">
      <c r="A34" s="431" t="s">
        <v>402</v>
      </c>
      <c r="B34" s="10" t="s">
        <v>45</v>
      </c>
      <c r="C34" s="11">
        <v>15</v>
      </c>
      <c r="D34" s="11">
        <v>19</v>
      </c>
      <c r="E34" s="11" t="str">
        <f t="shared" si="0"/>
        <v>E</v>
      </c>
      <c r="F34" s="11" t="str">
        <f>IF(C34="","",IF(C34&lt;9,"AV",IF(C34&lt;11,"CH",IF(C34&lt;15,"TQ","AR"))))</f>
        <v>AR</v>
      </c>
      <c r="G34" s="103">
        <v>3.17</v>
      </c>
      <c r="H34" s="12">
        <v>8.37</v>
      </c>
      <c r="I34" s="33">
        <v>0.79</v>
      </c>
      <c r="J34" s="38">
        <v>1</v>
      </c>
      <c r="K34" s="11">
        <v>4.9</v>
      </c>
      <c r="L34" s="11">
        <v>1</v>
      </c>
      <c r="M34" s="11">
        <v>1</v>
      </c>
      <c r="N34" s="11">
        <v>3.18</v>
      </c>
      <c r="O34" s="11">
        <v>4.48</v>
      </c>
      <c r="P34" s="11">
        <v>1</v>
      </c>
      <c r="Q34" s="11">
        <v>2.01</v>
      </c>
      <c r="R34" s="11">
        <v>1</v>
      </c>
      <c r="S34" s="11">
        <v>4.43</v>
      </c>
      <c r="T34" s="11">
        <v>3.18</v>
      </c>
      <c r="U34" s="11">
        <v>3.6</v>
      </c>
      <c r="V34" s="12">
        <v>1.44</v>
      </c>
      <c r="W34" s="32">
        <v>1</v>
      </c>
      <c r="X34" s="36" t="s">
        <v>54</v>
      </c>
      <c r="Y34" s="149"/>
      <c r="Z34" s="102"/>
      <c r="AA34" s="149"/>
      <c r="AB34" s="102">
        <v>11</v>
      </c>
      <c r="AC34" s="102"/>
      <c r="AD34" s="332" t="s">
        <v>205</v>
      </c>
      <c r="AE34" s="346">
        <v>0</v>
      </c>
      <c r="AG34" s="419" t="s">
        <v>239</v>
      </c>
      <c r="AH34" s="423" t="s">
        <v>239</v>
      </c>
      <c r="AI34" s="423" t="s">
        <v>239</v>
      </c>
      <c r="AJ34" s="424" t="s">
        <v>265</v>
      </c>
      <c r="AK34" s="320" t="s">
        <v>238</v>
      </c>
    </row>
    <row r="35" spans="1:37" ht="12.75">
      <c r="A35" s="426" t="s">
        <v>402</v>
      </c>
      <c r="B35" s="10" t="s">
        <v>125</v>
      </c>
      <c r="C35" s="11">
        <v>12</v>
      </c>
      <c r="D35" s="11">
        <v>21</v>
      </c>
      <c r="E35" s="11" t="str">
        <f t="shared" si="0"/>
        <v>E</v>
      </c>
      <c r="F35" s="11" t="str">
        <f>IF(C35&lt;0,"",IF(C35&lt;9,"AV",IF(C35&lt;11,"CH",IF(C35&lt;15,"TQ","AR"))))</f>
        <v>TQ</v>
      </c>
      <c r="G35" s="103">
        <v>61.17</v>
      </c>
      <c r="H35" s="12">
        <v>100</v>
      </c>
      <c r="I35" s="33">
        <v>0.89</v>
      </c>
      <c r="J35" s="38">
        <v>5.4</v>
      </c>
      <c r="K35" s="11">
        <v>85.44</v>
      </c>
      <c r="L35" s="11">
        <v>33.05</v>
      </c>
      <c r="M35" s="11">
        <v>80.69</v>
      </c>
      <c r="N35" s="11">
        <v>55.21</v>
      </c>
      <c r="O35" s="11">
        <v>84.65</v>
      </c>
      <c r="P35" s="11">
        <v>1.85</v>
      </c>
      <c r="Q35" s="11">
        <v>1.76</v>
      </c>
      <c r="R35" s="11">
        <v>1</v>
      </c>
      <c r="S35" s="11">
        <v>57.56</v>
      </c>
      <c r="T35" s="11">
        <v>42.87</v>
      </c>
      <c r="U35" s="11">
        <v>54.04</v>
      </c>
      <c r="V35" s="12">
        <v>78.41</v>
      </c>
      <c r="W35" s="36">
        <v>1</v>
      </c>
      <c r="X35" s="36" t="s">
        <v>53</v>
      </c>
      <c r="Y35" s="149"/>
      <c r="Z35" s="102"/>
      <c r="AA35" s="149"/>
      <c r="AB35" s="102">
        <v>12</v>
      </c>
      <c r="AC35" s="102"/>
      <c r="AD35" s="342" t="s">
        <v>206</v>
      </c>
      <c r="AE35" s="346">
        <v>3092</v>
      </c>
      <c r="AG35" s="423" t="s">
        <v>239</v>
      </c>
      <c r="AH35" s="320" t="s">
        <v>238</v>
      </c>
      <c r="AI35" s="424" t="s">
        <v>265</v>
      </c>
      <c r="AJ35" s="421" t="s">
        <v>293</v>
      </c>
      <c r="AK35" s="81"/>
    </row>
    <row r="36" spans="1:37" ht="12.75">
      <c r="A36" s="431" t="s">
        <v>402</v>
      </c>
      <c r="B36" s="10" t="s">
        <v>159</v>
      </c>
      <c r="C36" s="194">
        <v>15</v>
      </c>
      <c r="D36" s="194">
        <v>21</v>
      </c>
      <c r="E36" s="11" t="str">
        <f t="shared" si="0"/>
        <v>E</v>
      </c>
      <c r="F36" s="194" t="str">
        <f>IF(C36="","",IF(C36&lt;9,"AV",IF(C36&lt;11,"CH",IF(C36&lt;15,"TQ","AR"))))</f>
        <v>AR</v>
      </c>
      <c r="G36" s="231">
        <v>61.71</v>
      </c>
      <c r="H36" s="196">
        <v>100</v>
      </c>
      <c r="I36" s="33">
        <v>0.89</v>
      </c>
      <c r="J36" s="197">
        <v>54.71</v>
      </c>
      <c r="K36" s="194">
        <v>64.23</v>
      </c>
      <c r="L36" s="194">
        <v>43.63</v>
      </c>
      <c r="M36" s="194">
        <v>33.38</v>
      </c>
      <c r="N36" s="194">
        <v>54.08</v>
      </c>
      <c r="O36" s="194">
        <v>93.95</v>
      </c>
      <c r="P36" s="194">
        <v>4.4</v>
      </c>
      <c r="Q36" s="194">
        <v>2.01</v>
      </c>
      <c r="R36" s="194">
        <v>1</v>
      </c>
      <c r="S36" s="194">
        <v>70.05</v>
      </c>
      <c r="T36" s="194">
        <v>37.56</v>
      </c>
      <c r="U36" s="194">
        <v>66.43</v>
      </c>
      <c r="V36" s="196">
        <v>51.86</v>
      </c>
      <c r="W36" s="36">
        <v>1</v>
      </c>
      <c r="X36" s="36" t="s">
        <v>54</v>
      </c>
      <c r="Y36" s="149"/>
      <c r="Z36" s="149"/>
      <c r="AA36" s="149"/>
      <c r="AB36" s="149">
        <v>13</v>
      </c>
      <c r="AC36" s="102"/>
      <c r="AD36" s="349" t="s">
        <v>305</v>
      </c>
      <c r="AE36" s="346">
        <v>3536</v>
      </c>
      <c r="AG36" s="423" t="s">
        <v>239</v>
      </c>
      <c r="AH36" s="320" t="s">
        <v>238</v>
      </c>
      <c r="AI36" s="320" t="s">
        <v>238</v>
      </c>
      <c r="AJ36" s="320" t="s">
        <v>238</v>
      </c>
      <c r="AK36" s="320" t="s">
        <v>238</v>
      </c>
    </row>
    <row r="37" spans="1:37" ht="12.75">
      <c r="A37" s="431" t="s">
        <v>402</v>
      </c>
      <c r="B37" s="10" t="s">
        <v>19</v>
      </c>
      <c r="C37" s="11">
        <v>15</v>
      </c>
      <c r="D37" s="11">
        <v>19</v>
      </c>
      <c r="E37" s="11" t="str">
        <f t="shared" si="0"/>
        <v>E</v>
      </c>
      <c r="F37" s="11" t="str">
        <f>IF(C37="","",IF(C37&lt;9,"AV",IF(C37&lt;11,"CH",IF(C37&lt;15,"TQ","AR"))))</f>
        <v>AR</v>
      </c>
      <c r="G37" s="103">
        <v>3.17</v>
      </c>
      <c r="H37" s="12">
        <v>8.37</v>
      </c>
      <c r="I37" s="33">
        <v>0.79</v>
      </c>
      <c r="J37" s="38">
        <v>1</v>
      </c>
      <c r="K37" s="11">
        <v>4.9</v>
      </c>
      <c r="L37" s="11">
        <v>1</v>
      </c>
      <c r="M37" s="11">
        <v>1</v>
      </c>
      <c r="N37" s="11">
        <v>3.18</v>
      </c>
      <c r="O37" s="11">
        <v>4.48</v>
      </c>
      <c r="P37" s="11">
        <v>1</v>
      </c>
      <c r="Q37" s="11">
        <v>2.01</v>
      </c>
      <c r="R37" s="11">
        <v>1</v>
      </c>
      <c r="S37" s="11">
        <v>4.43</v>
      </c>
      <c r="T37" s="11">
        <v>3.18</v>
      </c>
      <c r="U37" s="11">
        <v>3.6</v>
      </c>
      <c r="V37" s="12">
        <v>1.44</v>
      </c>
      <c r="W37" s="32">
        <v>1</v>
      </c>
      <c r="X37" s="36" t="s">
        <v>54</v>
      </c>
      <c r="Y37" s="149"/>
      <c r="Z37" s="102"/>
      <c r="AB37" s="102">
        <v>14</v>
      </c>
      <c r="AC37" s="102"/>
      <c r="AD37" s="332" t="s">
        <v>205</v>
      </c>
      <c r="AE37" s="346">
        <v>0</v>
      </c>
      <c r="AG37" s="423" t="s">
        <v>239</v>
      </c>
      <c r="AH37" s="423" t="s">
        <v>239</v>
      </c>
      <c r="AI37" s="423" t="s">
        <v>239</v>
      </c>
      <c r="AJ37" s="424" t="s">
        <v>265</v>
      </c>
      <c r="AK37" s="320" t="s">
        <v>238</v>
      </c>
    </row>
    <row r="38" spans="1:37" ht="12.75">
      <c r="A38" s="429" t="s">
        <v>402</v>
      </c>
      <c r="B38" s="10" t="s">
        <v>126</v>
      </c>
      <c r="C38" s="11">
        <v>15</v>
      </c>
      <c r="D38" s="11">
        <v>21</v>
      </c>
      <c r="E38" s="11" t="str">
        <f t="shared" si="0"/>
        <v>E</v>
      </c>
      <c r="F38" s="11" t="str">
        <f>IF(C38&lt;0,"",IF(C38&lt;9,"AV",IF(C38&lt;11,"CH",IF(C38&lt;15,"TQ","AR"))))</f>
        <v>AR</v>
      </c>
      <c r="G38" s="103">
        <v>63.23</v>
      </c>
      <c r="H38" s="12">
        <v>100</v>
      </c>
      <c r="I38" s="33">
        <v>0.9</v>
      </c>
      <c r="J38" s="38">
        <v>51.56</v>
      </c>
      <c r="K38" s="11">
        <v>72.49</v>
      </c>
      <c r="L38" s="11">
        <v>44.62</v>
      </c>
      <c r="M38" s="11">
        <v>45.46</v>
      </c>
      <c r="N38" s="11">
        <v>52.33</v>
      </c>
      <c r="O38" s="11">
        <v>97.8</v>
      </c>
      <c r="P38" s="11">
        <v>8.27</v>
      </c>
      <c r="Q38" s="11">
        <v>3.48</v>
      </c>
      <c r="R38" s="11">
        <v>1</v>
      </c>
      <c r="S38" s="11">
        <v>71.99</v>
      </c>
      <c r="T38" s="11">
        <v>47.82</v>
      </c>
      <c r="U38" s="11">
        <v>54.71</v>
      </c>
      <c r="V38" s="12">
        <v>59.8</v>
      </c>
      <c r="W38" s="36">
        <v>1</v>
      </c>
      <c r="X38" s="36" t="s">
        <v>54</v>
      </c>
      <c r="Y38" s="149"/>
      <c r="Z38" s="102"/>
      <c r="AA38" s="149"/>
      <c r="AB38" s="102">
        <v>15</v>
      </c>
      <c r="AC38" s="102"/>
      <c r="AD38" s="342" t="s">
        <v>206</v>
      </c>
      <c r="AE38" s="346">
        <v>3740</v>
      </c>
      <c r="AG38" s="423" t="s">
        <v>239</v>
      </c>
      <c r="AH38" s="320" t="s">
        <v>238</v>
      </c>
      <c r="AI38" s="320" t="s">
        <v>238</v>
      </c>
      <c r="AJ38" s="320" t="s">
        <v>238</v>
      </c>
      <c r="AK38" s="320" t="s">
        <v>238</v>
      </c>
    </row>
    <row r="39" spans="1:37" ht="12.75">
      <c r="A39" s="433" t="s">
        <v>402</v>
      </c>
      <c r="B39" s="10" t="s">
        <v>160</v>
      </c>
      <c r="C39" s="11">
        <v>3</v>
      </c>
      <c r="D39" s="11">
        <v>21</v>
      </c>
      <c r="E39" s="11" t="str">
        <f t="shared" si="0"/>
        <v>E</v>
      </c>
      <c r="F39" s="11" t="str">
        <f>IF(C39="","",IF(C39&lt;9,"AV",IF(C39&lt;11,"CH",IF(C39&lt;15,"TQ","AR"))))</f>
        <v>AV</v>
      </c>
      <c r="G39" s="103">
        <v>56.38</v>
      </c>
      <c r="H39" s="12">
        <v>100</v>
      </c>
      <c r="I39" s="33">
        <v>0.88</v>
      </c>
      <c r="J39" s="38">
        <v>1.49</v>
      </c>
      <c r="K39" s="11">
        <v>37.38</v>
      </c>
      <c r="L39" s="11">
        <v>1</v>
      </c>
      <c r="M39" s="11">
        <v>7.19</v>
      </c>
      <c r="N39" s="11">
        <v>39.59</v>
      </c>
      <c r="O39" s="11">
        <v>83.28</v>
      </c>
      <c r="P39" s="11">
        <v>1</v>
      </c>
      <c r="Q39" s="11">
        <v>61.26</v>
      </c>
      <c r="R39" s="11">
        <v>78.91</v>
      </c>
      <c r="S39" s="11">
        <v>52.31</v>
      </c>
      <c r="T39" s="11">
        <v>31.98</v>
      </c>
      <c r="U39" s="11">
        <v>49.47</v>
      </c>
      <c r="V39" s="12">
        <v>13.91</v>
      </c>
      <c r="W39" s="36">
        <v>92.19</v>
      </c>
      <c r="X39" s="36" t="s">
        <v>12</v>
      </c>
      <c r="Y39" s="149"/>
      <c r="Z39" s="102"/>
      <c r="AA39" s="149"/>
      <c r="AB39" s="102">
        <v>16</v>
      </c>
      <c r="AC39" s="102"/>
      <c r="AD39" s="351" t="s">
        <v>304</v>
      </c>
      <c r="AE39" s="346">
        <v>2585</v>
      </c>
      <c r="AG39" s="422" t="s">
        <v>240</v>
      </c>
      <c r="AH39" s="421" t="s">
        <v>293</v>
      </c>
      <c r="AI39" s="398"/>
      <c r="AJ39" s="398"/>
      <c r="AK39" s="81"/>
    </row>
    <row r="40" spans="1:37" ht="12.75">
      <c r="A40" s="433" t="s">
        <v>402</v>
      </c>
      <c r="B40" s="172" t="s">
        <v>5</v>
      </c>
      <c r="C40" s="11">
        <v>2</v>
      </c>
      <c r="D40" s="11">
        <v>18</v>
      </c>
      <c r="E40" s="11" t="str">
        <f t="shared" si="0"/>
        <v>E</v>
      </c>
      <c r="F40" s="11" t="str">
        <f>IF(C40="","",IF(C40&lt;9,"AV",IF(C40&lt;11,"CH",IF(C40&lt;15,"TQ","AR"))))</f>
        <v>AV</v>
      </c>
      <c r="G40" s="103">
        <v>2.81</v>
      </c>
      <c r="H40" s="12">
        <v>4.5</v>
      </c>
      <c r="I40" s="33">
        <v>0.96</v>
      </c>
      <c r="J40" s="38">
        <v>1</v>
      </c>
      <c r="K40" s="11">
        <v>9.16</v>
      </c>
      <c r="L40" s="11">
        <v>1</v>
      </c>
      <c r="M40" s="11">
        <v>3.95</v>
      </c>
      <c r="N40" s="11">
        <v>2.4</v>
      </c>
      <c r="O40" s="11">
        <v>3.68</v>
      </c>
      <c r="P40" s="11">
        <v>1</v>
      </c>
      <c r="Q40" s="11">
        <v>1.04</v>
      </c>
      <c r="R40" s="11">
        <v>3.43</v>
      </c>
      <c r="S40" s="11">
        <v>4.43</v>
      </c>
      <c r="T40" s="11">
        <v>3.22</v>
      </c>
      <c r="U40" s="11">
        <v>2.53</v>
      </c>
      <c r="V40" s="12">
        <v>1</v>
      </c>
      <c r="W40" s="36">
        <v>1.05</v>
      </c>
      <c r="X40" s="399" t="s">
        <v>12</v>
      </c>
      <c r="Y40" s="149"/>
      <c r="Z40" s="102"/>
      <c r="AA40" s="149"/>
      <c r="AB40" s="102">
        <v>17</v>
      </c>
      <c r="AC40" s="102"/>
      <c r="AD40" s="332" t="s">
        <v>205</v>
      </c>
      <c r="AE40" s="346">
        <v>0</v>
      </c>
      <c r="AG40" s="422" t="s">
        <v>240</v>
      </c>
      <c r="AH40" s="423" t="s">
        <v>239</v>
      </c>
      <c r="AI40" s="436" t="s">
        <v>239</v>
      </c>
      <c r="AJ40" s="436" t="s">
        <v>239</v>
      </c>
      <c r="AK40" s="81"/>
    </row>
    <row r="41" spans="1:37" ht="12.75">
      <c r="A41" s="433" t="s">
        <v>402</v>
      </c>
      <c r="B41" s="10" t="s">
        <v>123</v>
      </c>
      <c r="C41" s="11">
        <v>6</v>
      </c>
      <c r="D41" s="11">
        <v>21</v>
      </c>
      <c r="E41" s="11" t="str">
        <f t="shared" si="0"/>
        <v>E</v>
      </c>
      <c r="F41" s="11" t="str">
        <f>IF(C41&lt;0,"",IF(C41&lt;9,"AV",IF(C41&lt;11,"CH",IF(C41&lt;15,"TQ","AR"))))</f>
        <v>AV</v>
      </c>
      <c r="G41" s="103">
        <v>50.92</v>
      </c>
      <c r="H41" s="12">
        <v>97.91</v>
      </c>
      <c r="I41" s="33">
        <v>0.87</v>
      </c>
      <c r="J41" s="38">
        <v>1</v>
      </c>
      <c r="K41" s="11">
        <v>41.12</v>
      </c>
      <c r="L41" s="11">
        <v>1</v>
      </c>
      <c r="M41" s="11">
        <v>23.99</v>
      </c>
      <c r="N41" s="11">
        <v>26.95</v>
      </c>
      <c r="O41" s="11">
        <v>78.25</v>
      </c>
      <c r="P41" s="11">
        <v>1</v>
      </c>
      <c r="Q41" s="11">
        <v>68.98</v>
      </c>
      <c r="R41" s="11">
        <v>82.97</v>
      </c>
      <c r="S41" s="11">
        <v>52.59</v>
      </c>
      <c r="T41" s="11">
        <v>21.85</v>
      </c>
      <c r="U41" s="11">
        <v>37.98</v>
      </c>
      <c r="V41" s="12">
        <v>23.55</v>
      </c>
      <c r="W41" s="36">
        <v>85.71</v>
      </c>
      <c r="X41" s="36" t="s">
        <v>14</v>
      </c>
      <c r="Y41" s="149"/>
      <c r="Z41" s="102"/>
      <c r="AA41" s="149"/>
      <c r="AB41" s="102">
        <v>19</v>
      </c>
      <c r="AC41" s="102"/>
      <c r="AD41" s="342" t="s">
        <v>206</v>
      </c>
      <c r="AE41" s="346">
        <v>1990</v>
      </c>
      <c r="AG41" s="422" t="s">
        <v>240</v>
      </c>
      <c r="AH41" s="421" t="s">
        <v>293</v>
      </c>
      <c r="AI41" s="398"/>
      <c r="AJ41" s="398"/>
      <c r="AK41" s="81"/>
    </row>
    <row r="42" spans="1:37" ht="12.75">
      <c r="A42" s="432" t="s">
        <v>402</v>
      </c>
      <c r="B42" s="172" t="s">
        <v>10</v>
      </c>
      <c r="C42" s="11">
        <v>9</v>
      </c>
      <c r="D42" s="11">
        <v>18</v>
      </c>
      <c r="E42" s="11" t="str">
        <f t="shared" si="0"/>
        <v>E</v>
      </c>
      <c r="F42" s="11" t="str">
        <f>IF(C42&lt;0,"",IF(C42&lt;9,"AV",IF(C42&lt;11,"CH",IF(C42&lt;15,"TQ","AR"))))</f>
        <v>CH</v>
      </c>
      <c r="G42" s="103">
        <v>1.89</v>
      </c>
      <c r="H42" s="12">
        <v>1.5</v>
      </c>
      <c r="I42" s="33">
        <v>0.94</v>
      </c>
      <c r="J42" s="38">
        <v>3.89</v>
      </c>
      <c r="K42" s="11">
        <v>1.84</v>
      </c>
      <c r="L42" s="11">
        <v>1.19</v>
      </c>
      <c r="M42" s="11">
        <v>1</v>
      </c>
      <c r="N42" s="11">
        <v>1.84</v>
      </c>
      <c r="O42" s="11">
        <v>1.84</v>
      </c>
      <c r="P42" s="11">
        <v>1</v>
      </c>
      <c r="Q42" s="11">
        <v>1</v>
      </c>
      <c r="R42" s="11">
        <v>1</v>
      </c>
      <c r="S42" s="11">
        <v>2.7</v>
      </c>
      <c r="T42" s="11">
        <v>1.84</v>
      </c>
      <c r="U42" s="11">
        <v>2.93</v>
      </c>
      <c r="V42" s="12">
        <v>1.2</v>
      </c>
      <c r="W42" s="36">
        <v>1</v>
      </c>
      <c r="X42" s="36" t="s">
        <v>50</v>
      </c>
      <c r="Y42" s="149"/>
      <c r="Z42" s="102"/>
      <c r="AA42" s="149"/>
      <c r="AB42" s="102">
        <v>20</v>
      </c>
      <c r="AC42" s="102"/>
      <c r="AD42" s="332" t="s">
        <v>205</v>
      </c>
      <c r="AE42" s="346">
        <v>0</v>
      </c>
      <c r="AG42" s="455" t="s">
        <v>240</v>
      </c>
      <c r="AH42" s="456" t="s">
        <v>239</v>
      </c>
      <c r="AI42" s="456" t="s">
        <v>239</v>
      </c>
      <c r="AJ42" s="456" t="s">
        <v>239</v>
      </c>
      <c r="AK42" s="81"/>
    </row>
    <row r="43" spans="1:37" ht="12.75">
      <c r="A43" s="430" t="s">
        <v>402</v>
      </c>
      <c r="B43" s="10" t="s">
        <v>43</v>
      </c>
      <c r="C43" s="11">
        <v>13</v>
      </c>
      <c r="D43" s="11">
        <v>28</v>
      </c>
      <c r="E43" s="11" t="str">
        <f t="shared" si="0"/>
        <v>S</v>
      </c>
      <c r="F43" s="11" t="str">
        <f>IF(C43="","",IF(C43&lt;9,"AV",IF(C43&lt;11,"CH",IF(C43&lt;15,"TQ","AR"))))</f>
        <v>TQ</v>
      </c>
      <c r="G43" s="103">
        <v>64.22</v>
      </c>
      <c r="H43" s="12">
        <v>100</v>
      </c>
      <c r="I43" s="33">
        <v>0.72</v>
      </c>
      <c r="J43" s="38">
        <v>1.4</v>
      </c>
      <c r="K43" s="11">
        <v>80.26</v>
      </c>
      <c r="L43" s="11">
        <v>24.88</v>
      </c>
      <c r="M43" s="11">
        <v>100.21</v>
      </c>
      <c r="N43" s="11">
        <v>67.16</v>
      </c>
      <c r="O43" s="11">
        <v>78.27</v>
      </c>
      <c r="P43" s="11">
        <v>1.04</v>
      </c>
      <c r="Q43" s="11">
        <v>1.52</v>
      </c>
      <c r="R43" s="11">
        <v>1</v>
      </c>
      <c r="S43" s="11">
        <v>47.69</v>
      </c>
      <c r="T43" s="11">
        <v>41.91</v>
      </c>
      <c r="U43" s="11">
        <v>75.23</v>
      </c>
      <c r="V43" s="12">
        <v>87.85</v>
      </c>
      <c r="W43" s="36">
        <v>1</v>
      </c>
      <c r="X43" s="36" t="s">
        <v>53</v>
      </c>
      <c r="Y43" s="149"/>
      <c r="Z43" s="102"/>
      <c r="AB43" s="102"/>
      <c r="AC43" s="102"/>
      <c r="AD43" s="342" t="s">
        <v>206</v>
      </c>
      <c r="AE43" s="346">
        <v>3700</v>
      </c>
      <c r="AG43" s="421" t="s">
        <v>293</v>
      </c>
      <c r="AH43" s="398"/>
      <c r="AI43" s="398"/>
      <c r="AJ43" s="398"/>
      <c r="AK43" s="81"/>
    </row>
    <row r="44" spans="1:37" ht="12.75">
      <c r="A44" s="432" t="s">
        <v>402</v>
      </c>
      <c r="B44" s="10" t="s">
        <v>15</v>
      </c>
      <c r="C44" s="11">
        <v>9</v>
      </c>
      <c r="D44" s="11">
        <v>34</v>
      </c>
      <c r="E44" s="11" t="str">
        <f t="shared" si="0"/>
        <v>S</v>
      </c>
      <c r="F44" s="11" t="str">
        <f>IF(C44="","",IF(C44&lt;9,"AV",IF(C44&lt;11,"CH",IF(C44&lt;15,"TQ","AR"))))</f>
        <v>CH</v>
      </c>
      <c r="G44" s="103">
        <v>63.62</v>
      </c>
      <c r="H44" s="12">
        <v>100</v>
      </c>
      <c r="I44" s="33">
        <v>0.94</v>
      </c>
      <c r="J44" s="38">
        <v>40.82</v>
      </c>
      <c r="K44" s="11">
        <v>59.79</v>
      </c>
      <c r="L44" s="11">
        <v>82.68</v>
      </c>
      <c r="M44" s="11">
        <v>72.69</v>
      </c>
      <c r="N44" s="11">
        <v>75.41</v>
      </c>
      <c r="O44" s="11">
        <v>99.17</v>
      </c>
      <c r="P44" s="11">
        <v>22.77</v>
      </c>
      <c r="Q44" s="11">
        <v>60.15</v>
      </c>
      <c r="R44" s="11">
        <v>4.31</v>
      </c>
      <c r="S44" s="11">
        <v>92.83</v>
      </c>
      <c r="T44" s="11">
        <v>35.55</v>
      </c>
      <c r="U44" s="11">
        <v>82.74</v>
      </c>
      <c r="V44" s="12">
        <v>65.25</v>
      </c>
      <c r="W44" s="36">
        <v>5.27</v>
      </c>
      <c r="X44" s="36" t="s">
        <v>50</v>
      </c>
      <c r="Y44" s="149"/>
      <c r="Z44" s="102"/>
      <c r="AB44" s="102"/>
      <c r="AC44" s="102"/>
      <c r="AD44" s="342" t="s">
        <v>206</v>
      </c>
      <c r="AE44" s="346">
        <v>4360</v>
      </c>
      <c r="AG44" s="424" t="s">
        <v>265</v>
      </c>
      <c r="AH44" s="421" t="s">
        <v>293</v>
      </c>
      <c r="AI44" s="398"/>
      <c r="AJ44" s="398"/>
      <c r="AK44" s="81"/>
    </row>
    <row r="45" spans="1:37" ht="12.75">
      <c r="A45" s="433" t="s">
        <v>402</v>
      </c>
      <c r="B45" s="10" t="s">
        <v>99</v>
      </c>
      <c r="C45" s="11">
        <v>4</v>
      </c>
      <c r="D45" s="11">
        <v>22</v>
      </c>
      <c r="E45" s="11" t="str">
        <f t="shared" si="0"/>
        <v>S</v>
      </c>
      <c r="F45" s="11" t="str">
        <f>IF(C45&lt;0,"",IF(C45&lt;9,"AV",IF(C45&lt;11,"CH",IF(C45&lt;15,"TQ","AR"))))</f>
        <v>AV</v>
      </c>
      <c r="G45" s="103">
        <v>56.79</v>
      </c>
      <c r="H45" s="12">
        <v>55.98</v>
      </c>
      <c r="I45" s="33">
        <v>0.64</v>
      </c>
      <c r="J45" s="38">
        <v>1</v>
      </c>
      <c r="K45" s="11">
        <v>31.49</v>
      </c>
      <c r="L45" s="11">
        <v>1</v>
      </c>
      <c r="M45" s="11">
        <v>5.71</v>
      </c>
      <c r="N45" s="11">
        <v>36.13</v>
      </c>
      <c r="O45" s="11">
        <v>77.56</v>
      </c>
      <c r="P45" s="11">
        <v>1</v>
      </c>
      <c r="Q45" s="11">
        <v>89.92</v>
      </c>
      <c r="R45" s="11">
        <v>88.07</v>
      </c>
      <c r="S45" s="11">
        <v>34.37</v>
      </c>
      <c r="T45" s="11">
        <v>23.86</v>
      </c>
      <c r="U45" s="11">
        <v>52.23</v>
      </c>
      <c r="V45" s="12">
        <v>22.07</v>
      </c>
      <c r="W45" s="36">
        <v>95.78</v>
      </c>
      <c r="X45" s="36" t="s">
        <v>13</v>
      </c>
      <c r="Y45" s="149"/>
      <c r="Z45" s="102"/>
      <c r="AA45" s="149"/>
      <c r="AB45" s="102"/>
      <c r="AC45" s="102"/>
      <c r="AD45" s="342" t="s">
        <v>206</v>
      </c>
      <c r="AE45" s="346">
        <v>2869</v>
      </c>
      <c r="AG45" s="424" t="s">
        <v>265</v>
      </c>
      <c r="AH45" s="421" t="s">
        <v>293</v>
      </c>
      <c r="AI45" s="398"/>
      <c r="AJ45" s="398"/>
      <c r="AK45" s="81"/>
    </row>
    <row r="46" spans="1:37" ht="12.75">
      <c r="A46" s="428" t="s">
        <v>402</v>
      </c>
      <c r="B46" s="10" t="s">
        <v>124</v>
      </c>
      <c r="C46" s="11">
        <v>9</v>
      </c>
      <c r="D46" s="11">
        <v>22</v>
      </c>
      <c r="E46" s="11" t="str">
        <f t="shared" si="0"/>
        <v>S</v>
      </c>
      <c r="F46" s="11" t="str">
        <f>IF(C46&lt;0,"",IF(C46&lt;9,"AV",IF(C46&lt;11,"CH",IF(C46&lt;15,"TQ","AR"))))</f>
        <v>CH</v>
      </c>
      <c r="G46" s="103">
        <v>44.01</v>
      </c>
      <c r="H46" s="12">
        <v>54</v>
      </c>
      <c r="I46" s="33">
        <v>0.94</v>
      </c>
      <c r="J46" s="38">
        <v>23.64</v>
      </c>
      <c r="K46" s="11">
        <v>41.27</v>
      </c>
      <c r="L46" s="11">
        <v>42.42</v>
      </c>
      <c r="M46" s="11">
        <v>17.03</v>
      </c>
      <c r="N46" s="11">
        <v>46.95</v>
      </c>
      <c r="O46" s="11">
        <v>96.69</v>
      </c>
      <c r="P46" s="11">
        <v>4.49</v>
      </c>
      <c r="Q46" s="11">
        <v>27.59</v>
      </c>
      <c r="R46" s="11">
        <v>1</v>
      </c>
      <c r="S46" s="11">
        <v>68.51</v>
      </c>
      <c r="T46" s="11">
        <v>11.64</v>
      </c>
      <c r="U46" s="11">
        <v>38.01</v>
      </c>
      <c r="V46" s="12">
        <v>29.49</v>
      </c>
      <c r="W46" s="36">
        <v>1.21</v>
      </c>
      <c r="X46" s="36" t="s">
        <v>50</v>
      </c>
      <c r="Y46" s="149"/>
      <c r="Z46" s="102"/>
      <c r="AA46" s="149"/>
      <c r="AB46" s="102"/>
      <c r="AC46" s="102"/>
      <c r="AD46" s="342" t="s">
        <v>206</v>
      </c>
      <c r="AE46" s="346">
        <v>1331</v>
      </c>
      <c r="AG46" s="454" t="s">
        <v>293</v>
      </c>
      <c r="AH46" s="398"/>
      <c r="AI46" s="398"/>
      <c r="AJ46" s="398"/>
      <c r="AK46" s="81"/>
    </row>
    <row r="47" spans="1:37" ht="12.75">
      <c r="A47" s="171"/>
      <c r="B47" s="10"/>
      <c r="C47" s="11">
        <v>15</v>
      </c>
      <c r="D47" s="11"/>
      <c r="E47" s="11"/>
      <c r="F47" s="11"/>
      <c r="G47" s="103"/>
      <c r="H47" s="12"/>
      <c r="I47" s="33"/>
      <c r="J47" s="38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36"/>
      <c r="X47" s="36"/>
      <c r="Y47" s="149"/>
      <c r="Z47" s="102"/>
      <c r="AB47" s="102"/>
      <c r="AC47" s="102"/>
      <c r="AD47" s="149"/>
      <c r="AE47" s="346"/>
      <c r="AG47" s="398"/>
      <c r="AH47" s="398"/>
      <c r="AI47" s="398"/>
      <c r="AJ47" s="398"/>
      <c r="AK47" s="81"/>
    </row>
    <row r="48" spans="1:37" ht="12.75">
      <c r="A48" s="171"/>
      <c r="B48" s="10"/>
      <c r="C48" s="11">
        <v>15</v>
      </c>
      <c r="D48" s="11"/>
      <c r="E48" s="11"/>
      <c r="F48" s="11"/>
      <c r="G48" s="103"/>
      <c r="H48" s="12"/>
      <c r="I48" s="33"/>
      <c r="J48" s="38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36"/>
      <c r="X48" s="36"/>
      <c r="Y48" s="149"/>
      <c r="Z48" s="102"/>
      <c r="AA48" s="149"/>
      <c r="AB48" s="102"/>
      <c r="AC48" s="102"/>
      <c r="AD48" s="149"/>
      <c r="AE48" s="346"/>
      <c r="AG48" s="398"/>
      <c r="AH48" s="398"/>
      <c r="AI48" s="398"/>
      <c r="AJ48" s="398"/>
      <c r="AK48" s="81"/>
    </row>
    <row r="49" spans="1:37" ht="12.75">
      <c r="A49" s="171"/>
      <c r="B49" s="172"/>
      <c r="C49" s="11">
        <v>8</v>
      </c>
      <c r="D49" s="11"/>
      <c r="E49" s="11"/>
      <c r="F49" s="11"/>
      <c r="G49" s="103"/>
      <c r="H49" s="12"/>
      <c r="I49" s="33"/>
      <c r="J49" s="38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  <c r="W49" s="36"/>
      <c r="X49" s="36"/>
      <c r="Y49" s="149"/>
      <c r="Z49" s="102"/>
      <c r="AA49" s="149"/>
      <c r="AB49" s="102"/>
      <c r="AC49" s="102"/>
      <c r="AD49" s="149"/>
      <c r="AE49" s="346"/>
      <c r="AG49" s="398"/>
      <c r="AH49" s="398"/>
      <c r="AI49" s="398"/>
      <c r="AJ49" s="398"/>
      <c r="AK49" s="81"/>
    </row>
    <row r="50" spans="1:37" ht="12.75">
      <c r="A50" s="171"/>
      <c r="B50" s="10"/>
      <c r="C50" s="11">
        <v>8</v>
      </c>
      <c r="D50" s="11"/>
      <c r="E50" s="11"/>
      <c r="F50" s="11"/>
      <c r="G50" s="103"/>
      <c r="H50" s="12"/>
      <c r="I50" s="33"/>
      <c r="J50" s="3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36"/>
      <c r="X50" s="36"/>
      <c r="Y50" s="149"/>
      <c r="Z50" s="102"/>
      <c r="AA50" s="149"/>
      <c r="AB50" s="102"/>
      <c r="AC50" s="102"/>
      <c r="AD50" s="149"/>
      <c r="AE50" s="346"/>
      <c r="AG50" s="398"/>
      <c r="AH50" s="398"/>
      <c r="AI50" s="398"/>
      <c r="AJ50" s="398"/>
      <c r="AK50" s="81"/>
    </row>
    <row r="51" spans="1:37" ht="12.75">
      <c r="A51" s="171"/>
      <c r="B51" s="10"/>
      <c r="C51" s="11"/>
      <c r="D51" s="11"/>
      <c r="E51" s="11"/>
      <c r="F51" s="11"/>
      <c r="G51" s="103"/>
      <c r="H51" s="12"/>
      <c r="I51" s="33"/>
      <c r="J51" s="38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94"/>
      <c r="X51" s="36"/>
      <c r="Y51" s="149"/>
      <c r="Z51" s="102"/>
      <c r="AA51" s="149"/>
      <c r="AB51" s="102"/>
      <c r="AC51" s="102"/>
      <c r="AD51" s="149"/>
      <c r="AE51" s="346"/>
      <c r="AG51" s="398"/>
      <c r="AH51" s="398"/>
      <c r="AI51" s="398"/>
      <c r="AJ51" s="398"/>
      <c r="AK51" s="81"/>
    </row>
    <row r="52" spans="1:37" ht="12.75">
      <c r="A52" s="171"/>
      <c r="B52" s="172"/>
      <c r="C52" s="11"/>
      <c r="D52" s="11"/>
      <c r="E52" s="11"/>
      <c r="F52" s="11"/>
      <c r="G52" s="103"/>
      <c r="H52" s="12"/>
      <c r="I52" s="33"/>
      <c r="J52" s="38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94"/>
      <c r="X52" s="36"/>
      <c r="Y52" s="149"/>
      <c r="Z52" s="102"/>
      <c r="AA52" s="149"/>
      <c r="AB52" s="102"/>
      <c r="AC52" s="102"/>
      <c r="AD52" s="149"/>
      <c r="AE52" s="346"/>
      <c r="AG52" s="398"/>
      <c r="AH52" s="398"/>
      <c r="AI52" s="398"/>
      <c r="AJ52" s="398"/>
      <c r="AK52" s="81"/>
    </row>
    <row r="53" spans="1:37" ht="12.75">
      <c r="A53" s="171"/>
      <c r="B53" s="104"/>
      <c r="C53" s="159"/>
      <c r="D53" s="159"/>
      <c r="E53" s="159"/>
      <c r="F53" s="11"/>
      <c r="G53" s="234"/>
      <c r="H53" s="209"/>
      <c r="I53" s="33"/>
      <c r="J53" s="235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359"/>
      <c r="X53" s="36"/>
      <c r="Y53" s="149"/>
      <c r="Z53" s="102"/>
      <c r="AA53" s="149"/>
      <c r="AB53" s="102"/>
      <c r="AC53" s="102"/>
      <c r="AD53" s="149"/>
      <c r="AE53" s="346"/>
      <c r="AG53" s="398"/>
      <c r="AH53" s="398"/>
      <c r="AI53" s="398"/>
      <c r="AJ53" s="398"/>
      <c r="AK53" s="81"/>
    </row>
    <row r="54" spans="1:36" s="4" customFormat="1" ht="12.75">
      <c r="A54" s="233"/>
      <c r="B54" s="104"/>
      <c r="C54" s="159"/>
      <c r="D54" s="159"/>
      <c r="E54" s="159"/>
      <c r="F54" s="11"/>
      <c r="G54" s="234"/>
      <c r="H54" s="209"/>
      <c r="I54" s="33"/>
      <c r="J54" s="235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209"/>
      <c r="W54" s="36"/>
      <c r="X54" s="36"/>
      <c r="Y54" s="149"/>
      <c r="Z54" s="149"/>
      <c r="AA54" s="88"/>
      <c r="AB54" s="102"/>
      <c r="AC54" s="149"/>
      <c r="AE54" s="347">
        <f>SUM(AE2:AE53)</f>
        <v>212197</v>
      </c>
      <c r="AG54" s="278"/>
      <c r="AH54" s="278"/>
      <c r="AI54" s="278"/>
      <c r="AJ54" s="278"/>
    </row>
    <row r="55" spans="1:36" s="4" customFormat="1" ht="12.75">
      <c r="A55" s="233"/>
      <c r="B55" s="104"/>
      <c r="C55" s="159"/>
      <c r="D55" s="159"/>
      <c r="E55" s="159"/>
      <c r="F55" s="11"/>
      <c r="G55" s="234"/>
      <c r="H55" s="209"/>
      <c r="I55" s="33"/>
      <c r="J55" s="235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209"/>
      <c r="W55" s="36"/>
      <c r="X55" s="36"/>
      <c r="Y55" s="149"/>
      <c r="Z55" s="149"/>
      <c r="AA55" s="88"/>
      <c r="AB55" s="102"/>
      <c r="AC55" s="149"/>
      <c r="AG55" s="278"/>
      <c r="AH55" s="278"/>
      <c r="AI55" s="278"/>
      <c r="AJ55" s="278"/>
    </row>
    <row r="56" spans="1:36" s="4" customFormat="1" ht="12.75">
      <c r="A56" s="233"/>
      <c r="B56" s="104"/>
      <c r="C56" s="159"/>
      <c r="D56" s="159"/>
      <c r="E56" s="159"/>
      <c r="F56" s="159"/>
      <c r="G56" s="234"/>
      <c r="H56" s="209"/>
      <c r="I56" s="33"/>
      <c r="J56" s="235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209"/>
      <c r="W56" s="36"/>
      <c r="X56" s="36"/>
      <c r="Y56" s="149"/>
      <c r="Z56" s="149"/>
      <c r="AA56" s="88"/>
      <c r="AB56" s="102"/>
      <c r="AC56" s="149"/>
      <c r="AH56" s="278"/>
      <c r="AI56" s="278"/>
      <c r="AJ56" s="278"/>
    </row>
    <row r="57" spans="1:36" s="4" customFormat="1" ht="12.75">
      <c r="A57" s="9"/>
      <c r="B57" s="9"/>
      <c r="C57" s="7"/>
      <c r="D57" s="7"/>
      <c r="E57" s="7"/>
      <c r="F57" s="7"/>
      <c r="G57" s="148"/>
      <c r="H57" s="7"/>
      <c r="I57" s="3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01"/>
      <c r="Z57" s="101"/>
      <c r="AA57" s="101"/>
      <c r="AB57" s="149"/>
      <c r="AH57" s="278"/>
      <c r="AI57" s="278"/>
      <c r="AJ57" s="278"/>
    </row>
    <row r="58" spans="1:37" s="4" customFormat="1" ht="12.75">
      <c r="A58" s="9"/>
      <c r="B58" s="150"/>
      <c r="C58" s="7"/>
      <c r="D58" s="7"/>
      <c r="E58" s="7"/>
      <c r="F58" s="7"/>
      <c r="G58" s="148"/>
      <c r="H58" s="7"/>
      <c r="I58" s="30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6"/>
      <c r="Z58" s="88"/>
      <c r="AA58" s="88"/>
      <c r="AB58" s="102"/>
      <c r="AC58" s="149"/>
      <c r="AE58" s="320" t="s">
        <v>238</v>
      </c>
      <c r="AG58" s="278">
        <f>COUNTIF(AG$2:AG$56,$AE58)</f>
        <v>15</v>
      </c>
      <c r="AH58" s="278">
        <f>COUNTIF(AH$2:AH$56,$AE58)</f>
        <v>15</v>
      </c>
      <c r="AI58" s="278">
        <f>COUNTIF(AI$2:AI$56,$AE58)</f>
        <v>14</v>
      </c>
      <c r="AJ58" s="278">
        <f>COUNTIF(AJ$2:AJ$56,$AE58)</f>
        <v>9</v>
      </c>
      <c r="AK58" s="278">
        <f>COUNTIF(AK$2:AK$56,$AE58)</f>
        <v>11</v>
      </c>
    </row>
    <row r="59" spans="1:37" s="4" customFormat="1" ht="12.75">
      <c r="A59" s="9"/>
      <c r="B59" s="9"/>
      <c r="C59" s="7"/>
      <c r="D59" s="7"/>
      <c r="E59" s="7"/>
      <c r="F59" s="7"/>
      <c r="G59" s="148"/>
      <c r="H59" s="7"/>
      <c r="I59" s="30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01"/>
      <c r="Z59" s="101"/>
      <c r="AA59" s="101"/>
      <c r="AB59" s="149"/>
      <c r="AC59" s="149"/>
      <c r="AE59" s="393" t="s">
        <v>265</v>
      </c>
      <c r="AG59" s="278">
        <f aca="true" t="shared" si="4" ref="AG59:AK62">COUNTIF(AG$2:AG$56,$AE59)</f>
        <v>6</v>
      </c>
      <c r="AH59" s="278">
        <f t="shared" si="4"/>
        <v>12</v>
      </c>
      <c r="AI59" s="278">
        <f t="shared" si="4"/>
        <v>11</v>
      </c>
      <c r="AJ59" s="278">
        <f t="shared" si="4"/>
        <v>8</v>
      </c>
      <c r="AK59" s="278">
        <f t="shared" si="4"/>
        <v>4</v>
      </c>
    </row>
    <row r="60" spans="1:37" s="4" customFormat="1" ht="12.75">
      <c r="A60" s="9"/>
      <c r="B60" s="9"/>
      <c r="C60" s="7"/>
      <c r="D60" s="7"/>
      <c r="E60" s="7"/>
      <c r="F60" s="7"/>
      <c r="G60" s="148"/>
      <c r="H60" s="7"/>
      <c r="I60" s="30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01"/>
      <c r="Z60" s="101"/>
      <c r="AA60" s="101"/>
      <c r="AB60" s="149"/>
      <c r="AC60" s="149"/>
      <c r="AE60" s="392" t="s">
        <v>239</v>
      </c>
      <c r="AG60" s="278">
        <f t="shared" si="4"/>
        <v>15</v>
      </c>
      <c r="AH60" s="278">
        <f t="shared" si="4"/>
        <v>5</v>
      </c>
      <c r="AI60" s="278">
        <f t="shared" si="4"/>
        <v>4</v>
      </c>
      <c r="AJ60" s="278">
        <f t="shared" si="4"/>
        <v>2</v>
      </c>
      <c r="AK60" s="278">
        <f t="shared" si="4"/>
        <v>0</v>
      </c>
    </row>
    <row r="61" spans="1:37" s="118" customFormat="1" ht="12.75">
      <c r="A61" s="114"/>
      <c r="B61" s="151"/>
      <c r="C61" s="152"/>
      <c r="D61" s="152"/>
      <c r="E61" s="152"/>
      <c r="F61" s="152"/>
      <c r="G61" s="153"/>
      <c r="H61" s="154"/>
      <c r="I61" s="155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15"/>
      <c r="Y61" s="116"/>
      <c r="Z61" s="116"/>
      <c r="AA61" s="116"/>
      <c r="AB61" s="117"/>
      <c r="AC61" s="117"/>
      <c r="AE61" s="406" t="s">
        <v>240</v>
      </c>
      <c r="AF61" s="4"/>
      <c r="AG61" s="278">
        <f t="shared" si="4"/>
        <v>4</v>
      </c>
      <c r="AH61" s="278">
        <f t="shared" si="4"/>
        <v>0</v>
      </c>
      <c r="AI61" s="278">
        <f t="shared" si="4"/>
        <v>0</v>
      </c>
      <c r="AJ61" s="278">
        <f t="shared" si="4"/>
        <v>0</v>
      </c>
      <c r="AK61" s="278">
        <f t="shared" si="4"/>
        <v>0</v>
      </c>
    </row>
    <row r="62" spans="2:37" ht="25.5">
      <c r="B62" s="56"/>
      <c r="C62" s="111" t="s">
        <v>3</v>
      </c>
      <c r="D62" s="111" t="s">
        <v>0</v>
      </c>
      <c r="E62" s="111" t="s">
        <v>78</v>
      </c>
      <c r="F62" s="111" t="s">
        <v>79</v>
      </c>
      <c r="G62" s="111" t="s">
        <v>22</v>
      </c>
      <c r="H62" s="111" t="s">
        <v>23</v>
      </c>
      <c r="I62" s="111" t="s">
        <v>90</v>
      </c>
      <c r="J62" s="111" t="s">
        <v>25</v>
      </c>
      <c r="K62" s="111" t="s">
        <v>26</v>
      </c>
      <c r="L62" s="111" t="s">
        <v>27</v>
      </c>
      <c r="M62" s="111" t="s">
        <v>28</v>
      </c>
      <c r="N62" s="111" t="s">
        <v>29</v>
      </c>
      <c r="O62" s="111" t="s">
        <v>30</v>
      </c>
      <c r="P62" s="111" t="s">
        <v>31</v>
      </c>
      <c r="Q62" s="111" t="s">
        <v>32</v>
      </c>
      <c r="R62" s="111" t="s">
        <v>33</v>
      </c>
      <c r="S62" s="111" t="s">
        <v>34</v>
      </c>
      <c r="T62" s="111" t="s">
        <v>35</v>
      </c>
      <c r="U62" s="111" t="s">
        <v>36</v>
      </c>
      <c r="V62" s="112" t="s">
        <v>37</v>
      </c>
      <c r="W62" s="113" t="s">
        <v>38</v>
      </c>
      <c r="Y62" s="2"/>
      <c r="AE62" s="390" t="s">
        <v>293</v>
      </c>
      <c r="AF62" s="4"/>
      <c r="AG62" s="278">
        <f t="shared" si="4"/>
        <v>5</v>
      </c>
      <c r="AH62" s="278">
        <f t="shared" si="4"/>
        <v>8</v>
      </c>
      <c r="AI62" s="278">
        <f t="shared" si="4"/>
        <v>2</v>
      </c>
      <c r="AJ62" s="278">
        <f t="shared" si="4"/>
        <v>3</v>
      </c>
      <c r="AK62" s="278">
        <f t="shared" si="4"/>
        <v>2</v>
      </c>
    </row>
    <row r="63" spans="2:37" ht="12.75">
      <c r="B63" s="509" t="s">
        <v>95</v>
      </c>
      <c r="C63" s="40"/>
      <c r="D63" s="58">
        <f>SUMIF($F$2:$F$56,"AV",D$2:D$56)/COUNTIF($F$2:$F$56,"AV")</f>
        <v>23.25</v>
      </c>
      <c r="E63" s="72"/>
      <c r="F63" s="74"/>
      <c r="G63" s="73">
        <f aca="true" t="shared" si="5" ref="G63:W63">SUMIF($F$2:$F$56,"AV",G$2:G$56)/COUNTIF($F$2:$F$56,"AV")</f>
        <v>67.5925</v>
      </c>
      <c r="H63" s="73">
        <f t="shared" si="5"/>
        <v>88.63416666666666</v>
      </c>
      <c r="I63" s="33">
        <f t="shared" si="5"/>
        <v>0.8125000000000001</v>
      </c>
      <c r="J63" s="94">
        <f t="shared" si="5"/>
        <v>1.0204166666666665</v>
      </c>
      <c r="K63" s="58">
        <f t="shared" si="5"/>
        <v>46.678333333333335</v>
      </c>
      <c r="L63" s="94">
        <f t="shared" si="5"/>
        <v>1</v>
      </c>
      <c r="M63" s="58">
        <f t="shared" si="5"/>
        <v>25.516250000000003</v>
      </c>
      <c r="N63" s="58">
        <f t="shared" si="5"/>
        <v>57.71875000000001</v>
      </c>
      <c r="O63" s="58">
        <f t="shared" si="5"/>
        <v>89.21125</v>
      </c>
      <c r="P63" s="94">
        <f t="shared" si="5"/>
        <v>1</v>
      </c>
      <c r="Q63" s="58">
        <f t="shared" si="5"/>
        <v>87.15708333333333</v>
      </c>
      <c r="R63" s="58">
        <f t="shared" si="5"/>
        <v>90.27041666666668</v>
      </c>
      <c r="S63" s="58">
        <f t="shared" si="5"/>
        <v>49.261666666666656</v>
      </c>
      <c r="T63" s="58">
        <f t="shared" si="5"/>
        <v>48.584166666666654</v>
      </c>
      <c r="U63" s="58">
        <f t="shared" si="5"/>
        <v>69.03041666666668</v>
      </c>
      <c r="V63" s="58">
        <f t="shared" si="5"/>
        <v>36.09375</v>
      </c>
      <c r="W63" s="59">
        <f t="shared" si="5"/>
        <v>88.94833333333334</v>
      </c>
      <c r="Y63" s="2"/>
      <c r="AG63" s="278">
        <f>SUM(AG58:AG62)</f>
        <v>45</v>
      </c>
      <c r="AH63" s="278">
        <f>SUM(AH58:AH62)</f>
        <v>40</v>
      </c>
      <c r="AI63" s="278">
        <f>SUM(AI58:AI62)</f>
        <v>31</v>
      </c>
      <c r="AJ63" s="278">
        <f>SUM(AJ58:AJ62)</f>
        <v>22</v>
      </c>
      <c r="AK63" s="278">
        <f>SUM(AK58:AK62)</f>
        <v>17</v>
      </c>
    </row>
    <row r="64" spans="2:37" ht="12.75">
      <c r="B64" s="509"/>
      <c r="C64" s="69">
        <f>COUNTIF(J64:Z64,"S1")+COUNTIF(J64:Z64,"S2")</f>
        <v>0</v>
      </c>
      <c r="D64" s="60"/>
      <c r="E64" s="60"/>
      <c r="F64" s="61"/>
      <c r="G64" s="341">
        <f aca="true" t="shared" si="6" ref="G64:W64">SUMIF($C$2:$C$56,"&lt;=8",G$2:G$56)/COUNTIF($C$2:$C$56,"&lt;=8")</f>
        <v>62.393076923076926</v>
      </c>
      <c r="H64" s="341">
        <f t="shared" si="6"/>
        <v>81.81615384615384</v>
      </c>
      <c r="I64" s="33">
        <f t="shared" si="6"/>
        <v>0.7500000000000001</v>
      </c>
      <c r="J64" s="341">
        <f t="shared" si="6"/>
        <v>0.9419230769230769</v>
      </c>
      <c r="K64" s="341">
        <f t="shared" si="6"/>
        <v>43.08769230769231</v>
      </c>
      <c r="L64" s="341">
        <f t="shared" si="6"/>
        <v>0.9230769230769231</v>
      </c>
      <c r="M64" s="341">
        <f t="shared" si="6"/>
        <v>23.55346153846154</v>
      </c>
      <c r="N64" s="341">
        <f t="shared" si="6"/>
        <v>53.27884615384616</v>
      </c>
      <c r="O64" s="341">
        <f t="shared" si="6"/>
        <v>82.34884615384615</v>
      </c>
      <c r="P64" s="341">
        <f t="shared" si="6"/>
        <v>0.9230769230769231</v>
      </c>
      <c r="Q64" s="341">
        <f t="shared" si="6"/>
        <v>80.4526923076923</v>
      </c>
      <c r="R64" s="341">
        <f t="shared" si="6"/>
        <v>83.32653846153848</v>
      </c>
      <c r="S64" s="341">
        <f t="shared" si="6"/>
        <v>45.47230769230768</v>
      </c>
      <c r="T64" s="341">
        <f t="shared" si="6"/>
        <v>44.84692307692307</v>
      </c>
      <c r="U64" s="341">
        <f t="shared" si="6"/>
        <v>63.720384615384624</v>
      </c>
      <c r="V64" s="341">
        <f t="shared" si="6"/>
        <v>33.31730769230769</v>
      </c>
      <c r="W64" s="341">
        <f t="shared" si="6"/>
        <v>82.10615384615386</v>
      </c>
      <c r="Y64" s="2"/>
      <c r="AG64" s="278">
        <f>52-AG63+AG62</f>
        <v>12</v>
      </c>
      <c r="AH64" s="278">
        <f>52-AH63-AG64+AH62</f>
        <v>8</v>
      </c>
      <c r="AI64" s="278">
        <f>52-AI63-AH64+AI62-AG64</f>
        <v>3</v>
      </c>
      <c r="AJ64" s="278">
        <f>52-AJ63-AH64-AI64-AG64+AJ62</f>
        <v>10</v>
      </c>
      <c r="AK64" s="278">
        <f>52-AK63-AH64-AI64-AJ64-AG64+AK62</f>
        <v>4</v>
      </c>
    </row>
    <row r="65" spans="2:25" ht="12.75">
      <c r="B65" s="509"/>
      <c r="C65" s="70"/>
      <c r="D65" s="62"/>
      <c r="E65" s="62"/>
      <c r="F65" s="63"/>
      <c r="G65" s="70"/>
      <c r="H65" s="62"/>
      <c r="I65" s="63"/>
      <c r="J65" s="93"/>
      <c r="K65" s="76"/>
      <c r="L65" s="89"/>
      <c r="M65" s="76"/>
      <c r="N65" s="76"/>
      <c r="O65" s="76"/>
      <c r="P65" s="89"/>
      <c r="Q65" s="76"/>
      <c r="R65" s="76"/>
      <c r="S65" s="76"/>
      <c r="T65" s="76"/>
      <c r="U65" s="76"/>
      <c r="V65" s="76"/>
      <c r="W65" s="77"/>
      <c r="Y65" s="2"/>
    </row>
    <row r="66" spans="2:25" ht="12.75">
      <c r="B66" s="509" t="s">
        <v>96</v>
      </c>
      <c r="C66" s="71"/>
      <c r="D66" s="58">
        <f>SUMIF($F$2:$F$56,"CH",D$2:D$56)/COUNTIF($F$2:$F$56,"CH")</f>
        <v>24.857142857142858</v>
      </c>
      <c r="E66" s="72"/>
      <c r="F66" s="74"/>
      <c r="G66" s="73">
        <f aca="true" t="shared" si="7" ref="G66:W66">SUMIF($F$2:$F$56,"CH",G$2:G$56)/COUNTIF($F$2:$F$56,"CH")</f>
        <v>54.66142857142857</v>
      </c>
      <c r="H66" s="73">
        <f t="shared" si="7"/>
        <v>61.45285714285715</v>
      </c>
      <c r="I66" s="33">
        <f t="shared" si="7"/>
        <v>0.8728571428571428</v>
      </c>
      <c r="J66" s="73">
        <f t="shared" si="7"/>
        <v>39.06428571428571</v>
      </c>
      <c r="K66" s="58">
        <f t="shared" si="7"/>
        <v>58.741428571428564</v>
      </c>
      <c r="L66" s="58">
        <f t="shared" si="7"/>
        <v>59.63571428571429</v>
      </c>
      <c r="M66" s="58">
        <f t="shared" si="7"/>
        <v>46.97714285714286</v>
      </c>
      <c r="N66" s="58">
        <f t="shared" si="7"/>
        <v>55.71571428571428</v>
      </c>
      <c r="O66" s="58">
        <f t="shared" si="7"/>
        <v>84.41571428571429</v>
      </c>
      <c r="P66" s="58">
        <f t="shared" si="7"/>
        <v>25.65857142857143</v>
      </c>
      <c r="Q66" s="58">
        <f t="shared" si="7"/>
        <v>42.46142857142856</v>
      </c>
      <c r="R66" s="95">
        <f t="shared" si="7"/>
        <v>16.34714285714286</v>
      </c>
      <c r="S66" s="58">
        <f t="shared" si="7"/>
        <v>72.00142857142856</v>
      </c>
      <c r="T66" s="58">
        <f t="shared" si="7"/>
        <v>33.26571428571428</v>
      </c>
      <c r="U66" s="58">
        <f t="shared" si="7"/>
        <v>52.74714285714286</v>
      </c>
      <c r="V66" s="58">
        <f t="shared" si="7"/>
        <v>51.18142857142857</v>
      </c>
      <c r="W66" s="96">
        <f t="shared" si="7"/>
        <v>10.74142857142857</v>
      </c>
      <c r="Y66" s="2"/>
    </row>
    <row r="67" spans="2:25" ht="12.75">
      <c r="B67" s="509"/>
      <c r="C67" s="69">
        <f>COUNTIF(J67:Z67,"S1")+COUNTIF(J67:Z67,"S2")</f>
        <v>0</v>
      </c>
      <c r="D67" s="60"/>
      <c r="E67" s="60"/>
      <c r="F67" s="61"/>
      <c r="G67" s="341">
        <f aca="true" t="shared" si="8" ref="G67:W67">(SUMIF($C$2:$C$56,"=9",G$2:G$56)+SUMIF($C$2:$C$56,"=10",G$2:G$56))/(COUNTIF($C$2:$C$56,"=9")+COUNTIF($C$2:$C$56,"=10"))</f>
        <v>54.66142857142857</v>
      </c>
      <c r="H67" s="341">
        <f t="shared" si="8"/>
        <v>61.45285714285715</v>
      </c>
      <c r="I67" s="33">
        <f t="shared" si="8"/>
        <v>0.8728571428571428</v>
      </c>
      <c r="J67" s="341">
        <f t="shared" si="8"/>
        <v>39.064285714285724</v>
      </c>
      <c r="K67" s="341">
        <f t="shared" si="8"/>
        <v>58.741428571428564</v>
      </c>
      <c r="L67" s="341">
        <f t="shared" si="8"/>
        <v>59.635714285714286</v>
      </c>
      <c r="M67" s="341">
        <f t="shared" si="8"/>
        <v>46.97714285714286</v>
      </c>
      <c r="N67" s="341">
        <f t="shared" si="8"/>
        <v>55.715714285714284</v>
      </c>
      <c r="O67" s="341">
        <f t="shared" si="8"/>
        <v>84.41571428571429</v>
      </c>
      <c r="P67" s="341">
        <f t="shared" si="8"/>
        <v>25.65857142857143</v>
      </c>
      <c r="Q67" s="341">
        <f t="shared" si="8"/>
        <v>42.46142857142858</v>
      </c>
      <c r="R67" s="341">
        <f t="shared" si="8"/>
        <v>16.34714285714286</v>
      </c>
      <c r="S67" s="341">
        <f t="shared" si="8"/>
        <v>72.00142857142858</v>
      </c>
      <c r="T67" s="341">
        <f t="shared" si="8"/>
        <v>33.26571428571428</v>
      </c>
      <c r="U67" s="341">
        <f t="shared" si="8"/>
        <v>52.747142857142855</v>
      </c>
      <c r="V67" s="341">
        <f t="shared" si="8"/>
        <v>51.18142857142857</v>
      </c>
      <c r="W67" s="341">
        <f t="shared" si="8"/>
        <v>10.74142857142857</v>
      </c>
      <c r="Y67" s="2"/>
    </row>
    <row r="68" spans="2:25" ht="12.75">
      <c r="B68" s="509"/>
      <c r="C68" s="70"/>
      <c r="D68" s="62"/>
      <c r="E68" s="62"/>
      <c r="F68" s="63"/>
      <c r="G68" s="70"/>
      <c r="H68" s="62"/>
      <c r="I68" s="33"/>
      <c r="J68" s="75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7"/>
      <c r="Y68" s="2"/>
    </row>
    <row r="69" spans="2:25" ht="12.75">
      <c r="B69" s="508" t="s">
        <v>64</v>
      </c>
      <c r="C69" s="71"/>
      <c r="D69" s="58">
        <f>SUMIF($F$2:$F$56,"TQ",D$2:D$56)/COUNTIF($F$2:$F$56,"TQ")</f>
        <v>25.4</v>
      </c>
      <c r="E69" s="72"/>
      <c r="F69" s="74"/>
      <c r="G69" s="73">
        <f aca="true" t="shared" si="9" ref="G69:W69">SUMIF($F$2:$F$56,"TQ",G$2:G$56)/COUNTIF($F$2:$F$56,"TQ")</f>
        <v>67.64000000000001</v>
      </c>
      <c r="H69" s="73">
        <f t="shared" si="9"/>
        <v>85.424</v>
      </c>
      <c r="I69" s="33">
        <f t="shared" si="9"/>
        <v>0.72</v>
      </c>
      <c r="J69" s="73">
        <f t="shared" si="9"/>
        <v>3.808</v>
      </c>
      <c r="K69" s="58">
        <f t="shared" si="9"/>
        <v>90.72</v>
      </c>
      <c r="L69" s="58">
        <f t="shared" si="9"/>
        <v>33.525999999999996</v>
      </c>
      <c r="M69" s="58">
        <f t="shared" si="9"/>
        <v>91.116</v>
      </c>
      <c r="N69" s="58">
        <f t="shared" si="9"/>
        <v>63.712</v>
      </c>
      <c r="O69" s="58">
        <f t="shared" si="9"/>
        <v>85.42999999999999</v>
      </c>
      <c r="P69" s="58">
        <f t="shared" si="9"/>
        <v>1.2799999999999998</v>
      </c>
      <c r="Q69" s="95">
        <f t="shared" si="9"/>
        <v>1.924</v>
      </c>
      <c r="R69" s="95">
        <f t="shared" si="9"/>
        <v>1</v>
      </c>
      <c r="S69" s="58">
        <f t="shared" si="9"/>
        <v>62.318</v>
      </c>
      <c r="T69" s="58">
        <f t="shared" si="9"/>
        <v>52.062</v>
      </c>
      <c r="U69" s="58">
        <f t="shared" si="9"/>
        <v>68.418</v>
      </c>
      <c r="V69" s="58">
        <f t="shared" si="9"/>
        <v>84.59400000000001</v>
      </c>
      <c r="W69" s="96">
        <f t="shared" si="9"/>
        <v>1</v>
      </c>
      <c r="Y69" s="2"/>
    </row>
    <row r="70" spans="2:25" ht="12.75">
      <c r="B70" s="509"/>
      <c r="C70" s="69">
        <f>COUNTIF(J70:Z70,"S1")+COUNTIF(J70:Z70,"S2")</f>
        <v>0</v>
      </c>
      <c r="D70" s="60"/>
      <c r="E70" s="60"/>
      <c r="F70" s="61"/>
      <c r="G70" s="341">
        <f aca="true" t="shared" si="10" ref="G70:W70">(SUMIF($C$2:$C$56,"=11",G$2:G$56)+SUMIF($C$2:$C$56,"=14",G$2:G$56))/(COUNTIF($C$2:$C$56,"=11")+COUNTIF($C$2:$C$56,"=14"))</f>
        <v>71.47</v>
      </c>
      <c r="H70" s="341">
        <f t="shared" si="10"/>
        <v>81.905</v>
      </c>
      <c r="I70" s="33">
        <f t="shared" si="10"/>
        <v>0.6699999999999999</v>
      </c>
      <c r="J70" s="341">
        <f t="shared" si="10"/>
        <v>4.01</v>
      </c>
      <c r="K70" s="341">
        <f t="shared" si="10"/>
        <v>95.72</v>
      </c>
      <c r="L70" s="341">
        <f t="shared" si="10"/>
        <v>39.85</v>
      </c>
      <c r="M70" s="341">
        <f t="shared" si="10"/>
        <v>92.57499999999999</v>
      </c>
      <c r="N70" s="341">
        <f t="shared" si="10"/>
        <v>64.8</v>
      </c>
      <c r="O70" s="341">
        <f t="shared" si="10"/>
        <v>91.425</v>
      </c>
      <c r="P70" s="341">
        <f t="shared" si="10"/>
        <v>1.205</v>
      </c>
      <c r="Q70" s="341">
        <f t="shared" si="10"/>
        <v>2.41</v>
      </c>
      <c r="R70" s="341">
        <f t="shared" si="10"/>
        <v>1</v>
      </c>
      <c r="S70" s="341">
        <f t="shared" si="10"/>
        <v>69.845</v>
      </c>
      <c r="T70" s="341">
        <f t="shared" si="10"/>
        <v>54.725</v>
      </c>
      <c r="U70" s="341">
        <f t="shared" si="10"/>
        <v>68.58</v>
      </c>
      <c r="V70" s="341">
        <f t="shared" si="10"/>
        <v>86.595</v>
      </c>
      <c r="W70" s="341">
        <f t="shared" si="10"/>
        <v>1</v>
      </c>
      <c r="Y70" s="2"/>
    </row>
    <row r="71" spans="2:25" ht="12.75">
      <c r="B71" s="509"/>
      <c r="C71" s="70"/>
      <c r="D71" s="62"/>
      <c r="E71" s="62"/>
      <c r="F71" s="63"/>
      <c r="G71" s="70"/>
      <c r="H71" s="70"/>
      <c r="I71" s="33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Y71" s="2"/>
    </row>
    <row r="72" spans="2:25" ht="12.75">
      <c r="B72" s="508" t="s">
        <v>299</v>
      </c>
      <c r="C72" s="71"/>
      <c r="D72" s="58">
        <f>SUMIF($F$2:$F$56,"AR",D$2:D$56)/COUNTIF($F$2:$F$56,"AR")</f>
        <v>23</v>
      </c>
      <c r="E72" s="72"/>
      <c r="F72" s="74"/>
      <c r="G72" s="73">
        <f aca="true" t="shared" si="11" ref="G72:W72">SUMIF($F$2:$F$56,"AR",G$2:G$56)/COUNTIF($F$2:$F$56,"AR")</f>
        <v>50.98222222222223</v>
      </c>
      <c r="H72" s="73">
        <f t="shared" si="11"/>
        <v>78.19</v>
      </c>
      <c r="I72" s="33">
        <f t="shared" si="11"/>
        <v>0.8211111111111111</v>
      </c>
      <c r="J72" s="73">
        <f t="shared" si="11"/>
        <v>47.88777777777778</v>
      </c>
      <c r="K72" s="73">
        <f t="shared" si="11"/>
        <v>61.236666666666665</v>
      </c>
      <c r="L72" s="73">
        <f t="shared" si="11"/>
        <v>45.873333333333335</v>
      </c>
      <c r="M72" s="73">
        <f t="shared" si="11"/>
        <v>52.416666666666664</v>
      </c>
      <c r="N72" s="73">
        <f t="shared" si="11"/>
        <v>46.86555555555555</v>
      </c>
      <c r="O72" s="73">
        <f t="shared" si="11"/>
        <v>67.54777777777777</v>
      </c>
      <c r="P72" s="73">
        <f t="shared" si="11"/>
        <v>13.838888888888889</v>
      </c>
      <c r="Q72" s="73">
        <f t="shared" si="11"/>
        <v>2.0244444444444443</v>
      </c>
      <c r="R72" s="73">
        <f t="shared" si="11"/>
        <v>1</v>
      </c>
      <c r="S72" s="73">
        <f t="shared" si="11"/>
        <v>54.89888888888889</v>
      </c>
      <c r="T72" s="73">
        <f t="shared" si="11"/>
        <v>35.29222222222222</v>
      </c>
      <c r="U72" s="73">
        <f t="shared" si="11"/>
        <v>50.83666666666667</v>
      </c>
      <c r="V72" s="73">
        <f t="shared" si="11"/>
        <v>47.242222222222225</v>
      </c>
      <c r="W72" s="73">
        <f t="shared" si="11"/>
        <v>1</v>
      </c>
      <c r="Y72" s="2"/>
    </row>
    <row r="73" spans="2:25" ht="12.75">
      <c r="B73" s="509"/>
      <c r="C73" s="69">
        <f>COUNTIF(J73:Z73,"S1")+COUNTIF(J73:Z73,"S2")</f>
        <v>0</v>
      </c>
      <c r="D73" s="60"/>
      <c r="E73" s="60"/>
      <c r="F73" s="61"/>
      <c r="G73" s="341">
        <f aca="true" t="shared" si="12" ref="G73:W73">(SUMIF($C$2:$C$56,"=12",G$2:G$56)+SUMIF($C$2:$C$56,"=13",G$2:G$56))/(COUNTIF($C$2:$C$56,"=12")+COUNTIF($C$2:$C$56,"=13"))</f>
        <v>65.08666666666666</v>
      </c>
      <c r="H73" s="341">
        <f t="shared" si="12"/>
        <v>87.77</v>
      </c>
      <c r="I73" s="33">
        <f t="shared" si="12"/>
        <v>0.7533333333333334</v>
      </c>
      <c r="J73" s="341">
        <f t="shared" si="12"/>
        <v>3.6733333333333333</v>
      </c>
      <c r="K73" s="341">
        <f t="shared" si="12"/>
        <v>87.38666666666666</v>
      </c>
      <c r="L73" s="341">
        <f t="shared" si="12"/>
        <v>29.31</v>
      </c>
      <c r="M73" s="341">
        <f t="shared" si="12"/>
        <v>90.14333333333333</v>
      </c>
      <c r="N73" s="341">
        <f t="shared" si="12"/>
        <v>62.98666666666667</v>
      </c>
      <c r="O73" s="341">
        <f t="shared" si="12"/>
        <v>81.43333333333332</v>
      </c>
      <c r="P73" s="341">
        <f t="shared" si="12"/>
        <v>1.33</v>
      </c>
      <c r="Q73" s="341">
        <f t="shared" si="12"/>
        <v>1.5999999999999999</v>
      </c>
      <c r="R73" s="341">
        <f t="shared" si="12"/>
        <v>1</v>
      </c>
      <c r="S73" s="341">
        <f t="shared" si="12"/>
        <v>57.300000000000004</v>
      </c>
      <c r="T73" s="341">
        <f t="shared" si="12"/>
        <v>50.28666666666666</v>
      </c>
      <c r="U73" s="341">
        <f t="shared" si="12"/>
        <v>68.30999999999999</v>
      </c>
      <c r="V73" s="341">
        <f t="shared" si="12"/>
        <v>83.26</v>
      </c>
      <c r="W73" s="341">
        <f t="shared" si="12"/>
        <v>1</v>
      </c>
      <c r="Y73" s="2"/>
    </row>
    <row r="74" spans="2:25" ht="12.75">
      <c r="B74" s="509"/>
      <c r="C74" s="70"/>
      <c r="D74" s="62"/>
      <c r="E74" s="62"/>
      <c r="F74" s="63"/>
      <c r="G74" s="70"/>
      <c r="H74" s="70"/>
      <c r="I74" s="33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Y74" s="2"/>
    </row>
    <row r="75" spans="2:25" ht="12.75">
      <c r="B75" s="508" t="s">
        <v>93</v>
      </c>
      <c r="C75" s="71"/>
      <c r="D75" s="58">
        <f>SUMIF($E$2:$E$56,"E",D$2:D$56)/COUNTIF($E$2:$E$56,"E")</f>
        <v>20.42105263157895</v>
      </c>
      <c r="E75" s="72"/>
      <c r="F75" s="74"/>
      <c r="G75" s="73"/>
      <c r="H75" s="73"/>
      <c r="I75" s="3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Y75" s="2"/>
    </row>
    <row r="76" spans="2:25" ht="12.75">
      <c r="B76" s="509"/>
      <c r="C76" s="69">
        <f>COUNTIF(J76:Z76,"S1")+COUNTIF(J76:Z76,"S2")</f>
        <v>0</v>
      </c>
      <c r="D76" s="60"/>
      <c r="E76" s="60"/>
      <c r="F76" s="61"/>
      <c r="G76" s="341">
        <f aca="true" t="shared" si="13" ref="G76:W76">(SUMIF($C$2:$C$56,"=15",G$2:G$56))/(COUNTIF($C$2:$C$56,"=15"))</f>
        <v>41.71272727272728</v>
      </c>
      <c r="H76" s="341">
        <f t="shared" si="13"/>
        <v>63.973636363636366</v>
      </c>
      <c r="I76" s="33">
        <f t="shared" si="13"/>
        <v>0.6718181818181819</v>
      </c>
      <c r="J76" s="341">
        <f t="shared" si="13"/>
        <v>39.18090909090909</v>
      </c>
      <c r="K76" s="341">
        <f t="shared" si="13"/>
        <v>50.10272727272727</v>
      </c>
      <c r="L76" s="341">
        <f t="shared" si="13"/>
        <v>37.53272727272727</v>
      </c>
      <c r="M76" s="341">
        <f t="shared" si="13"/>
        <v>42.88636363636363</v>
      </c>
      <c r="N76" s="341">
        <f t="shared" si="13"/>
        <v>38.344545454545454</v>
      </c>
      <c r="O76" s="341">
        <f t="shared" si="13"/>
        <v>55.26636363636363</v>
      </c>
      <c r="P76" s="341">
        <f t="shared" si="13"/>
        <v>11.322727272727272</v>
      </c>
      <c r="Q76" s="341">
        <f t="shared" si="13"/>
        <v>1.6563636363636363</v>
      </c>
      <c r="R76" s="341">
        <f t="shared" si="13"/>
        <v>0.8181818181818182</v>
      </c>
      <c r="S76" s="341">
        <f t="shared" si="13"/>
        <v>44.91727272727273</v>
      </c>
      <c r="T76" s="341">
        <f t="shared" si="13"/>
        <v>28.875454545454545</v>
      </c>
      <c r="U76" s="341">
        <f t="shared" si="13"/>
        <v>41.593636363636364</v>
      </c>
      <c r="V76" s="341">
        <f t="shared" si="13"/>
        <v>38.652727272727276</v>
      </c>
      <c r="W76" s="341">
        <f t="shared" si="13"/>
        <v>0.8181818181818182</v>
      </c>
      <c r="Y76" s="2"/>
    </row>
    <row r="77" spans="2:25" ht="12.75">
      <c r="B77" s="509"/>
      <c r="C77" s="45"/>
      <c r="D77" s="62"/>
      <c r="E77" s="62"/>
      <c r="F77" s="63"/>
      <c r="G77" s="70"/>
      <c r="H77" s="62"/>
      <c r="I77" s="63"/>
      <c r="J77" s="70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3"/>
      <c r="Y77" s="2"/>
    </row>
  </sheetData>
  <sheetProtection/>
  <autoFilter ref="A1:AK53">
    <sortState ref="A2:AK77">
      <sortCondition sortBy="value" ref="AB2:AB77"/>
      <sortCondition descending="1" sortBy="value" ref="G2:G77"/>
      <sortCondition sortBy="value" ref="Z2:Z77"/>
      <sortCondition sortBy="value" ref="C2:C77"/>
      <sortCondition sortBy="value" ref="B2:B77"/>
    </sortState>
  </autoFilter>
  <mergeCells count="5">
    <mergeCell ref="B75:B77"/>
    <mergeCell ref="B63:B65"/>
    <mergeCell ref="B66:B68"/>
    <mergeCell ref="B69:B71"/>
    <mergeCell ref="B72:B74"/>
  </mergeCells>
  <conditionalFormatting sqref="I63:I64 I66:I76 I2:I56">
    <cfRule type="cellIs" priority="3" dxfId="7" operator="lessThanOrEqual" stopIfTrue="1">
      <formula>0.65</formula>
    </cfRule>
  </conditionalFormatting>
  <conditionalFormatting sqref="D2:D51">
    <cfRule type="cellIs" priority="7" dxfId="11" operator="greaterThanOrEqual" stopIfTrue="1">
      <formula>30</formula>
    </cfRule>
  </conditionalFormatting>
  <hyperlinks>
    <hyperlink ref="C62" r:id="rId1" display="http://www.11manager.com/ClubHouse.php?page=equipe_effectif.php&amp;name=e2a921a33c4b4a4450deb681e4d3528a"/>
    <hyperlink ref="D62" r:id="rId2" display="http://www.11manager.com/ClubHouse.php?page=equipe_effectif.php&amp;name=e2a921a33c4b4a4450deb681e4d3528a"/>
    <hyperlink ref="I62" r:id="rId3" display="http://www.11manager.com/ClubHouse.php?page=equipe_effectif.php&amp;name=e2a921a33c4b4a4450deb681e4d3528a"/>
    <hyperlink ref="J62" r:id="rId4" display="http://www.xvmanager.fr/ClubHouse.php?page=equipe_effectif.php&amp;name=33b8eea9895c78e1346bedba7a07f552"/>
    <hyperlink ref="K62" r:id="rId5" display="http://www.xvmanager.fr/ClubHouse.php?page=equipe_effectif.php&amp;name=33b8eea9895c78e1346bedba7a07f552"/>
    <hyperlink ref="L62" r:id="rId6" display="http://www.xvmanager.fr/ClubHouse.php?page=equipe_effectif.php&amp;name=33b8eea9895c78e1346bedba7a07f552"/>
    <hyperlink ref="M62" r:id="rId7" display="http://www.xvmanager.fr/ClubHouse.php?page=equipe_effectif.php&amp;name=33b8eea9895c78e1346bedba7a07f552"/>
    <hyperlink ref="N62" r:id="rId8" display="http://www.xvmanager.fr/ClubHouse.php?page=equipe_effectif.php&amp;name=33b8eea9895c78e1346bedba7a07f552"/>
    <hyperlink ref="O62" r:id="rId9" display="http://www.xvmanager.fr/ClubHouse.php?page=equipe_effectif.php&amp;name=33b8eea9895c78e1346bedba7a07f552"/>
    <hyperlink ref="P62" r:id="rId10" display="http://www.xvmanager.fr/ClubHouse.php?page=equipe_effectif.php&amp;name=33b8eea9895c78e1346bedba7a07f552"/>
    <hyperlink ref="Q62" r:id="rId11" display="http://www.xvmanager.fr/ClubHouse.php?page=equipe_effectif.php&amp;name=33b8eea9895c78e1346bedba7a07f552"/>
    <hyperlink ref="R62" r:id="rId12" display="http://www.xvmanager.fr/ClubHouse.php?page=equipe_effectif.php&amp;name=33b8eea9895c78e1346bedba7a07f552"/>
    <hyperlink ref="S62" r:id="rId13" display="http://www.xvmanager.fr/ClubHouse.php?page=equipe_effectif.php&amp;name=33b8eea9895c78e1346bedba7a07f552"/>
    <hyperlink ref="T62" r:id="rId14" display="http://www.xvmanager.fr/ClubHouse.php?page=equipe_effectif.php&amp;name=33b8eea9895c78e1346bedba7a07f552"/>
    <hyperlink ref="U62" r:id="rId15" display="http://www.xvmanager.fr/ClubHouse.php?page=equipe_effectif.php&amp;name=33b8eea9895c78e1346bedba7a07f552"/>
    <hyperlink ref="V62" r:id="rId16" display="http://www.xvmanager.fr/ClubHouse.php?page=equipe_effectif.php&amp;name=33b8eea9895c78e1346bedba7a07f552"/>
    <hyperlink ref="W62" r:id="rId17" display="http://www.xvmanager.fr/ClubHouse.php?page=equipe_effectif.php&amp;name=33b8eea9895c78e1346bedba7a07f552"/>
    <hyperlink ref="W1" r:id="rId18" display="http://www.xvmanager.fr/ClubHouse.php?page=equipe_effectif.php&amp;name=33b8eea9895c78e1346bedba7a07f552"/>
    <hyperlink ref="V1" r:id="rId19" display="http://www.xvmanager.fr/ClubHouse.php?page=equipe_effectif.php&amp;name=33b8eea9895c78e1346bedba7a07f552"/>
    <hyperlink ref="U1" r:id="rId20" display="http://www.xvmanager.fr/ClubHouse.php?page=equipe_effectif.php&amp;name=33b8eea9895c78e1346bedba7a07f552"/>
    <hyperlink ref="T1" r:id="rId21" display="http://www.xvmanager.fr/ClubHouse.php?page=equipe_effectif.php&amp;name=33b8eea9895c78e1346bedba7a07f552"/>
    <hyperlink ref="S1" r:id="rId22" display="http://www.xvmanager.fr/ClubHouse.php?page=equipe_effectif.php&amp;name=33b8eea9895c78e1346bedba7a07f552"/>
    <hyperlink ref="R1" r:id="rId23" display="http://www.xvmanager.fr/ClubHouse.php?page=equipe_effectif.php&amp;name=33b8eea9895c78e1346bedba7a07f552"/>
    <hyperlink ref="Q1" r:id="rId24" display="http://www.xvmanager.fr/ClubHouse.php?page=equipe_effectif.php&amp;name=33b8eea9895c78e1346bedba7a07f552"/>
    <hyperlink ref="P1" r:id="rId25" display="http://www.xvmanager.fr/ClubHouse.php?page=equipe_effectif.php&amp;name=33b8eea9895c78e1346bedba7a07f552"/>
    <hyperlink ref="O1" r:id="rId26" display="http://www.xvmanager.fr/ClubHouse.php?page=equipe_effectif.php&amp;name=33b8eea9895c78e1346bedba7a07f552"/>
    <hyperlink ref="N1" r:id="rId27" display="http://www.xvmanager.fr/ClubHouse.php?page=equipe_effectif.php&amp;name=33b8eea9895c78e1346bedba7a07f552"/>
    <hyperlink ref="M1" r:id="rId28" display="http://www.xvmanager.fr/ClubHouse.php?page=equipe_effectif.php&amp;name=33b8eea9895c78e1346bedba7a07f552"/>
    <hyperlink ref="L1" r:id="rId29" display="http://www.xvmanager.fr/ClubHouse.php?page=equipe_effectif.php&amp;name=33b8eea9895c78e1346bedba7a07f552"/>
    <hyperlink ref="K1" r:id="rId30" display="http://www.xvmanager.fr/ClubHouse.php?page=equipe_effectif.php&amp;name=33b8eea9895c78e1346bedba7a07f552"/>
    <hyperlink ref="J1" r:id="rId31" display="http://www.xvmanager.fr/ClubHouse.php?page=equipe_effectif.php&amp;name=33b8eea9895c78e1346bedba7a07f552"/>
    <hyperlink ref="I1" r:id="rId32" display="http://www.xvmanager.fr/ClubHouse.php?page=equipe_effectif.php&amp;name=33b8eea9895c78e1346bedba7a07f552"/>
    <hyperlink ref="D1" r:id="rId33" display="http://www.xvmanager.fr/ClubHouse.php?page=equipe_effectif.php&amp;name=33b8eea9895c78e1346bedba7a07f552"/>
    <hyperlink ref="C1" r:id="rId34" display="http://www.xvmanager.fr/ClubHouse.php?page=equipe_effectif.php&amp;name=33b8eea9895c78e1346bedba7a07f552"/>
  </hyperlinks>
  <printOptions/>
  <pageMargins left="0.787401575" right="0.787401575" top="0.984251969" bottom="0.984251969" header="0.4921259845" footer="0.4921259845"/>
  <pageSetup horizontalDpi="600" verticalDpi="600" orientation="landscape" paperSize="9" r:id="rId36"/>
  <legacyDrawing r:id="rId3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/>
  <dimension ref="A1:N32"/>
  <sheetViews>
    <sheetView zoomScalePageLayoutView="0" workbookViewId="0" topLeftCell="A1">
      <selection activeCell="C7" sqref="C7"/>
    </sheetView>
  </sheetViews>
  <sheetFormatPr defaultColWidth="11.421875" defaultRowHeight="12.75"/>
  <cols>
    <col min="8" max="8" width="10.7109375" style="0" customWidth="1"/>
    <col min="9" max="9" width="5.7109375" style="0" customWidth="1"/>
    <col min="10" max="10" width="20.7109375" style="0" customWidth="1"/>
    <col min="11" max="12" width="5.7109375" style="0" customWidth="1"/>
    <col min="13" max="13" width="16.57421875" style="0" bestFit="1" customWidth="1"/>
  </cols>
  <sheetData>
    <row r="1" spans="1:14" ht="20.25" thickBot="1" thickTop="1">
      <c r="A1" s="555" t="s">
        <v>347</v>
      </c>
      <c r="B1" s="556"/>
      <c r="C1" s="556"/>
      <c r="D1" s="556"/>
      <c r="E1" s="557"/>
      <c r="F1" s="558" t="s">
        <v>324</v>
      </c>
      <c r="G1" s="559"/>
      <c r="H1" s="555" t="s">
        <v>346</v>
      </c>
      <c r="I1" s="556"/>
      <c r="J1" s="556"/>
      <c r="K1" s="556"/>
      <c r="L1" s="557"/>
      <c r="M1" s="558" t="s">
        <v>324</v>
      </c>
      <c r="N1" s="559"/>
    </row>
    <row r="2" spans="1:14" ht="13.5" thickBot="1">
      <c r="A2" s="560" t="s">
        <v>345</v>
      </c>
      <c r="B2" s="561"/>
      <c r="C2" s="561"/>
      <c r="D2" s="561"/>
      <c r="E2" s="562"/>
      <c r="F2" s="364" t="s">
        <v>328</v>
      </c>
      <c r="G2" s="370">
        <v>133</v>
      </c>
      <c r="H2" s="560" t="s">
        <v>345</v>
      </c>
      <c r="I2" s="561"/>
      <c r="J2" s="561"/>
      <c r="K2" s="561"/>
      <c r="L2" s="562"/>
      <c r="M2" s="364" t="s">
        <v>328</v>
      </c>
      <c r="N2" s="370">
        <v>7383</v>
      </c>
    </row>
    <row r="3" spans="1:14" ht="12.75">
      <c r="A3" s="388" t="s">
        <v>343</v>
      </c>
      <c r="B3" s="389" t="s">
        <v>342</v>
      </c>
      <c r="C3" s="389" t="s">
        <v>361</v>
      </c>
      <c r="D3" s="389"/>
      <c r="E3" s="389" t="s">
        <v>344</v>
      </c>
      <c r="F3" s="364" t="s">
        <v>330</v>
      </c>
      <c r="G3" s="370">
        <v>66</v>
      </c>
      <c r="H3" s="388" t="s">
        <v>343</v>
      </c>
      <c r="I3" s="389" t="s">
        <v>342</v>
      </c>
      <c r="J3" s="389" t="s">
        <v>361</v>
      </c>
      <c r="K3" s="389"/>
      <c r="L3" s="389" t="s">
        <v>344</v>
      </c>
      <c r="M3" s="364" t="s">
        <v>330</v>
      </c>
      <c r="N3" s="370">
        <v>3691</v>
      </c>
    </row>
    <row r="4" spans="1:14" ht="12.75">
      <c r="A4" s="371" t="s">
        <v>335</v>
      </c>
      <c r="B4" s="366">
        <v>0.8</v>
      </c>
      <c r="C4" s="365" t="s">
        <v>380</v>
      </c>
      <c r="D4" s="365" t="s">
        <v>364</v>
      </c>
      <c r="E4" s="366">
        <v>667</v>
      </c>
      <c r="F4" s="364" t="s">
        <v>329</v>
      </c>
      <c r="G4" s="370">
        <v>133</v>
      </c>
      <c r="H4" s="371" t="s">
        <v>313</v>
      </c>
      <c r="I4" s="366">
        <v>1.2</v>
      </c>
      <c r="J4" s="365" t="s">
        <v>338</v>
      </c>
      <c r="K4" s="365" t="s">
        <v>334</v>
      </c>
      <c r="L4" s="366">
        <v>67</v>
      </c>
      <c r="M4" s="364" t="s">
        <v>329</v>
      </c>
      <c r="N4" s="370">
        <v>7383</v>
      </c>
    </row>
    <row r="5" spans="1:14" ht="12.75">
      <c r="A5" s="371" t="s">
        <v>318</v>
      </c>
      <c r="B5" s="366">
        <v>1</v>
      </c>
      <c r="C5" s="365" t="s">
        <v>319</v>
      </c>
      <c r="D5" s="365" t="s">
        <v>364</v>
      </c>
      <c r="E5" s="366">
        <v>58</v>
      </c>
      <c r="F5" s="364" t="s">
        <v>331</v>
      </c>
      <c r="G5" s="370">
        <v>66</v>
      </c>
      <c r="H5" s="371" t="s">
        <v>314</v>
      </c>
      <c r="I5" s="366">
        <v>1.5</v>
      </c>
      <c r="J5" s="365" t="s">
        <v>339</v>
      </c>
      <c r="K5" s="365" t="s">
        <v>334</v>
      </c>
      <c r="L5" s="366">
        <v>80</v>
      </c>
      <c r="M5" s="364" t="s">
        <v>331</v>
      </c>
      <c r="N5" s="370">
        <v>3691</v>
      </c>
    </row>
    <row r="6" spans="1:14" ht="12.75">
      <c r="A6" s="371" t="s">
        <v>357</v>
      </c>
      <c r="B6" s="366">
        <v>1.2</v>
      </c>
      <c r="C6" s="365" t="s">
        <v>389</v>
      </c>
      <c r="D6" s="365" t="s">
        <v>364</v>
      </c>
      <c r="E6" s="366">
        <v>55</v>
      </c>
      <c r="F6" s="364" t="s">
        <v>337</v>
      </c>
      <c r="G6" s="370">
        <v>66</v>
      </c>
      <c r="H6" s="371" t="s">
        <v>316</v>
      </c>
      <c r="I6" s="366">
        <v>1.5</v>
      </c>
      <c r="J6" s="365" t="s">
        <v>315</v>
      </c>
      <c r="K6" s="365" t="s">
        <v>341</v>
      </c>
      <c r="L6" s="366">
        <v>86</v>
      </c>
      <c r="M6" s="364" t="s">
        <v>337</v>
      </c>
      <c r="N6" s="370">
        <v>3691</v>
      </c>
    </row>
    <row r="7" spans="1:14" ht="12.75">
      <c r="A7" s="371" t="s">
        <v>314</v>
      </c>
      <c r="B7" s="366">
        <v>1</v>
      </c>
      <c r="C7" s="365" t="s">
        <v>378</v>
      </c>
      <c r="D7" s="365" t="s">
        <v>341</v>
      </c>
      <c r="E7" s="366">
        <v>54</v>
      </c>
      <c r="F7" s="364" t="s">
        <v>325</v>
      </c>
      <c r="G7" s="370">
        <v>66</v>
      </c>
      <c r="H7" s="371" t="s">
        <v>317</v>
      </c>
      <c r="I7" s="366">
        <v>1</v>
      </c>
      <c r="J7" s="365" t="s">
        <v>340</v>
      </c>
      <c r="K7" s="365" t="s">
        <v>334</v>
      </c>
      <c r="L7" s="366">
        <v>67</v>
      </c>
      <c r="M7" s="364" t="s">
        <v>325</v>
      </c>
      <c r="N7" s="370">
        <v>3691</v>
      </c>
    </row>
    <row r="8" spans="1:14" ht="12.75">
      <c r="A8" s="371" t="s">
        <v>316</v>
      </c>
      <c r="B8" s="366">
        <v>0.9</v>
      </c>
      <c r="C8" s="365" t="s">
        <v>379</v>
      </c>
      <c r="D8" s="365" t="s">
        <v>341</v>
      </c>
      <c r="E8" s="366">
        <v>89</v>
      </c>
      <c r="F8" s="364" t="s">
        <v>326</v>
      </c>
      <c r="G8" s="370">
        <v>133</v>
      </c>
      <c r="H8" s="371" t="s">
        <v>318</v>
      </c>
      <c r="I8" s="366">
        <v>1</v>
      </c>
      <c r="J8" s="365" t="s">
        <v>319</v>
      </c>
      <c r="K8" s="365" t="s">
        <v>334</v>
      </c>
      <c r="L8" s="366">
        <v>30</v>
      </c>
      <c r="M8" s="364" t="s">
        <v>326</v>
      </c>
      <c r="N8" s="370">
        <v>7383</v>
      </c>
    </row>
    <row r="9" spans="1:14" ht="12.75">
      <c r="A9" s="371"/>
      <c r="B9" s="366"/>
      <c r="C9" s="365"/>
      <c r="D9" s="365"/>
      <c r="E9" s="366"/>
      <c r="F9" s="364" t="s">
        <v>327</v>
      </c>
      <c r="G9" s="370">
        <v>69</v>
      </c>
      <c r="H9" s="371" t="s">
        <v>320</v>
      </c>
      <c r="I9" s="366">
        <v>1</v>
      </c>
      <c r="J9" s="365" t="s">
        <v>321</v>
      </c>
      <c r="K9" s="365" t="s">
        <v>334</v>
      </c>
      <c r="L9" s="366">
        <v>164</v>
      </c>
      <c r="M9" s="364" t="s">
        <v>327</v>
      </c>
      <c r="N9" s="370">
        <v>3691</v>
      </c>
    </row>
    <row r="10" spans="1:14" ht="12.75">
      <c r="A10" s="371"/>
      <c r="B10" s="366"/>
      <c r="C10" s="365"/>
      <c r="D10" s="365"/>
      <c r="E10" s="366"/>
      <c r="F10" s="364" t="s">
        <v>332</v>
      </c>
      <c r="G10" s="370">
        <v>7094</v>
      </c>
      <c r="H10" s="371" t="s">
        <v>322</v>
      </c>
      <c r="I10" s="366">
        <v>0.8</v>
      </c>
      <c r="J10" s="365" t="s">
        <v>323</v>
      </c>
      <c r="K10" s="365" t="s">
        <v>334</v>
      </c>
      <c r="L10" s="366">
        <v>41</v>
      </c>
      <c r="M10" s="364" t="s">
        <v>332</v>
      </c>
      <c r="N10" s="370">
        <v>21765</v>
      </c>
    </row>
    <row r="11" spans="1:14" ht="13.5" thickBot="1">
      <c r="A11" s="372"/>
      <c r="B11" s="367"/>
      <c r="C11" s="368"/>
      <c r="D11" s="368"/>
      <c r="E11" s="367"/>
      <c r="F11" s="364" t="s">
        <v>333</v>
      </c>
      <c r="G11" s="370"/>
      <c r="H11" s="372" t="s">
        <v>335</v>
      </c>
      <c r="I11" s="367">
        <v>0.8</v>
      </c>
      <c r="J11" s="368" t="s">
        <v>336</v>
      </c>
      <c r="K11" s="368" t="s">
        <v>334</v>
      </c>
      <c r="L11" s="367">
        <v>667</v>
      </c>
      <c r="M11" s="364" t="s">
        <v>333</v>
      </c>
      <c r="N11" s="370">
        <v>14510</v>
      </c>
    </row>
    <row r="12" spans="1:14" ht="13.5" thickBot="1">
      <c r="A12" s="371"/>
      <c r="B12" s="365"/>
      <c r="C12" s="365"/>
      <c r="D12" s="365"/>
      <c r="E12" s="365"/>
      <c r="F12" s="369"/>
      <c r="G12" s="373">
        <f>SUM(G2:G11)</f>
        <v>7826</v>
      </c>
      <c r="H12" s="371"/>
      <c r="I12" s="365"/>
      <c r="J12" s="365"/>
      <c r="K12" s="365"/>
      <c r="L12" s="365"/>
      <c r="M12" s="369"/>
      <c r="N12" s="373">
        <f>SUM(N2:N11)</f>
        <v>76879</v>
      </c>
    </row>
    <row r="13" spans="1:14" ht="13.5" thickBot="1">
      <c r="A13" s="374"/>
      <c r="B13" s="375"/>
      <c r="C13" s="375"/>
      <c r="D13" s="375"/>
      <c r="E13" s="375"/>
      <c r="F13" s="375"/>
      <c r="G13" s="376"/>
      <c r="H13" s="374"/>
      <c r="I13" s="375"/>
      <c r="J13" s="375"/>
      <c r="K13" s="375"/>
      <c r="L13" s="375"/>
      <c r="M13" s="375"/>
      <c r="N13" s="376"/>
    </row>
    <row r="14" ht="13.5" thickTop="1"/>
    <row r="19" ht="13.5" thickBot="1"/>
    <row r="20" spans="1:14" ht="20.25" thickBot="1" thickTop="1">
      <c r="A20" s="555" t="s">
        <v>348</v>
      </c>
      <c r="B20" s="556"/>
      <c r="C20" s="556"/>
      <c r="D20" s="556"/>
      <c r="E20" s="557"/>
      <c r="F20" s="558" t="s">
        <v>324</v>
      </c>
      <c r="G20" s="559"/>
      <c r="H20" s="555" t="s">
        <v>349</v>
      </c>
      <c r="I20" s="556"/>
      <c r="J20" s="556"/>
      <c r="K20" s="556"/>
      <c r="L20" s="557"/>
      <c r="M20" s="558" t="s">
        <v>324</v>
      </c>
      <c r="N20" s="559"/>
    </row>
    <row r="21" spans="1:14" ht="13.5" thickBot="1">
      <c r="A21" s="560" t="s">
        <v>345</v>
      </c>
      <c r="B21" s="561"/>
      <c r="C21" s="561"/>
      <c r="D21" s="561"/>
      <c r="E21" s="562"/>
      <c r="F21" s="364" t="s">
        <v>328</v>
      </c>
      <c r="G21" s="370">
        <v>8469</v>
      </c>
      <c r="H21" s="560" t="s">
        <v>345</v>
      </c>
      <c r="I21" s="561"/>
      <c r="J21" s="561"/>
      <c r="K21" s="561"/>
      <c r="L21" s="562"/>
      <c r="M21" s="364" t="s">
        <v>328</v>
      </c>
      <c r="N21" s="370">
        <v>6768</v>
      </c>
    </row>
    <row r="22" spans="1:14" ht="12.75">
      <c r="A22" s="388" t="s">
        <v>343</v>
      </c>
      <c r="B22" s="389" t="s">
        <v>342</v>
      </c>
      <c r="C22" s="389" t="s">
        <v>361</v>
      </c>
      <c r="D22" s="389"/>
      <c r="E22" s="389" t="s">
        <v>344</v>
      </c>
      <c r="F22" s="364" t="s">
        <v>330</v>
      </c>
      <c r="G22" s="370">
        <v>4234</v>
      </c>
      <c r="H22" s="388" t="s">
        <v>343</v>
      </c>
      <c r="I22" s="389" t="s">
        <v>342</v>
      </c>
      <c r="J22" s="389" t="s">
        <v>361</v>
      </c>
      <c r="K22" s="389"/>
      <c r="L22" s="389" t="s">
        <v>344</v>
      </c>
      <c r="M22" s="364" t="s">
        <v>330</v>
      </c>
      <c r="N22" s="370">
        <v>3384</v>
      </c>
    </row>
    <row r="23" spans="1:14" ht="12.75">
      <c r="A23" s="371" t="s">
        <v>25</v>
      </c>
      <c r="B23" s="366">
        <v>2.5</v>
      </c>
      <c r="C23" s="365" t="s">
        <v>363</v>
      </c>
      <c r="D23" s="365" t="s">
        <v>364</v>
      </c>
      <c r="E23" s="366">
        <v>47</v>
      </c>
      <c r="F23" s="364" t="s">
        <v>352</v>
      </c>
      <c r="G23" s="370">
        <v>8469</v>
      </c>
      <c r="H23" s="371" t="s">
        <v>354</v>
      </c>
      <c r="I23" s="366">
        <v>2</v>
      </c>
      <c r="J23" s="365" t="s">
        <v>315</v>
      </c>
      <c r="K23" s="365" t="s">
        <v>341</v>
      </c>
      <c r="L23" s="366">
        <v>66</v>
      </c>
      <c r="M23" s="364" t="s">
        <v>352</v>
      </c>
      <c r="N23" s="370">
        <v>6768</v>
      </c>
    </row>
    <row r="24" spans="1:14" ht="12.75">
      <c r="A24" s="371" t="s">
        <v>354</v>
      </c>
      <c r="B24" s="366">
        <v>1.5</v>
      </c>
      <c r="C24" s="365" t="s">
        <v>315</v>
      </c>
      <c r="D24" s="365" t="s">
        <v>341</v>
      </c>
      <c r="E24" s="366">
        <v>42</v>
      </c>
      <c r="F24" s="364" t="s">
        <v>331</v>
      </c>
      <c r="G24" s="370">
        <v>4234</v>
      </c>
      <c r="H24" s="371" t="s">
        <v>370</v>
      </c>
      <c r="I24" s="366">
        <v>1</v>
      </c>
      <c r="J24" s="365" t="s">
        <v>373</v>
      </c>
      <c r="K24" s="365" t="s">
        <v>364</v>
      </c>
      <c r="L24" s="366">
        <v>54</v>
      </c>
      <c r="M24" s="364" t="s">
        <v>331</v>
      </c>
      <c r="N24" s="370">
        <v>3384</v>
      </c>
    </row>
    <row r="25" spans="1:14" ht="12.75">
      <c r="A25" s="371" t="s">
        <v>355</v>
      </c>
      <c r="B25" s="366">
        <v>1</v>
      </c>
      <c r="C25" s="365" t="s">
        <v>319</v>
      </c>
      <c r="D25" s="365" t="s">
        <v>364</v>
      </c>
      <c r="E25" s="366">
        <v>63</v>
      </c>
      <c r="F25" s="364" t="s">
        <v>350</v>
      </c>
      <c r="G25" s="370">
        <v>4234</v>
      </c>
      <c r="H25" s="371" t="s">
        <v>335</v>
      </c>
      <c r="I25" s="366">
        <v>0.8</v>
      </c>
      <c r="J25" s="365" t="s">
        <v>336</v>
      </c>
      <c r="K25" s="365" t="s">
        <v>364</v>
      </c>
      <c r="L25" s="366">
        <v>667</v>
      </c>
      <c r="M25" s="364" t="s">
        <v>337</v>
      </c>
      <c r="N25" s="370">
        <v>3384</v>
      </c>
    </row>
    <row r="26" spans="1:14" ht="12.75">
      <c r="A26" s="371" t="s">
        <v>335</v>
      </c>
      <c r="B26" s="366">
        <v>0.8</v>
      </c>
      <c r="C26" s="365" t="s">
        <v>336</v>
      </c>
      <c r="D26" s="365" t="s">
        <v>364</v>
      </c>
      <c r="E26" s="366">
        <v>855</v>
      </c>
      <c r="F26" s="364" t="s">
        <v>351</v>
      </c>
      <c r="G26" s="370">
        <v>4234</v>
      </c>
      <c r="H26" s="371" t="s">
        <v>318</v>
      </c>
      <c r="I26" s="366">
        <v>1</v>
      </c>
      <c r="J26" s="365" t="s">
        <v>319</v>
      </c>
      <c r="K26" s="365" t="s">
        <v>364</v>
      </c>
      <c r="L26" s="366">
        <v>56</v>
      </c>
      <c r="M26" s="364" t="s">
        <v>369</v>
      </c>
      <c r="N26" s="370">
        <v>3384</v>
      </c>
    </row>
    <row r="27" spans="1:14" ht="12.75">
      <c r="A27" s="371" t="s">
        <v>356</v>
      </c>
      <c r="B27" s="366">
        <v>2</v>
      </c>
      <c r="C27" s="365" t="s">
        <v>360</v>
      </c>
      <c r="D27" s="365" t="s">
        <v>341</v>
      </c>
      <c r="E27" s="366">
        <v>46</v>
      </c>
      <c r="F27" s="364" t="s">
        <v>326</v>
      </c>
      <c r="G27" s="370">
        <v>8469</v>
      </c>
      <c r="H27" s="371" t="s">
        <v>314</v>
      </c>
      <c r="I27" s="366">
        <v>1.5</v>
      </c>
      <c r="J27" s="365" t="s">
        <v>339</v>
      </c>
      <c r="K27" s="365" t="s">
        <v>364</v>
      </c>
      <c r="L27" s="366">
        <v>80</v>
      </c>
      <c r="M27" s="364" t="s">
        <v>326</v>
      </c>
      <c r="N27" s="370">
        <v>6768</v>
      </c>
    </row>
    <row r="28" spans="1:14" ht="12.75">
      <c r="A28" s="371" t="s">
        <v>357</v>
      </c>
      <c r="B28" s="366">
        <v>0.5</v>
      </c>
      <c r="C28" s="365" t="s">
        <v>362</v>
      </c>
      <c r="D28" s="365" t="s">
        <v>364</v>
      </c>
      <c r="E28" s="366">
        <v>42</v>
      </c>
      <c r="F28" s="364" t="s">
        <v>353</v>
      </c>
      <c r="G28" s="370">
        <v>4234</v>
      </c>
      <c r="H28" s="371" t="s">
        <v>371</v>
      </c>
      <c r="I28" s="366">
        <v>0.5</v>
      </c>
      <c r="J28" s="365" t="s">
        <v>374</v>
      </c>
      <c r="K28" s="365" t="s">
        <v>364</v>
      </c>
      <c r="L28" s="366">
        <v>39</v>
      </c>
      <c r="M28" s="364" t="s">
        <v>368</v>
      </c>
      <c r="N28" s="370">
        <v>3384</v>
      </c>
    </row>
    <row r="29" spans="1:14" ht="12.75">
      <c r="A29" s="371" t="s">
        <v>314</v>
      </c>
      <c r="B29" s="366">
        <v>1.5</v>
      </c>
      <c r="C29" s="365" t="s">
        <v>339</v>
      </c>
      <c r="D29" s="365" t="s">
        <v>364</v>
      </c>
      <c r="E29" s="366">
        <v>67</v>
      </c>
      <c r="F29" s="364" t="s">
        <v>332</v>
      </c>
      <c r="G29" s="370">
        <v>25406</v>
      </c>
      <c r="H29" s="371" t="s">
        <v>372</v>
      </c>
      <c r="I29" s="366">
        <v>1</v>
      </c>
      <c r="J29" s="365" t="s">
        <v>340</v>
      </c>
      <c r="K29" s="365" t="s">
        <v>364</v>
      </c>
      <c r="L29" s="366">
        <v>67</v>
      </c>
      <c r="M29" s="364" t="s">
        <v>332</v>
      </c>
      <c r="N29" s="370">
        <v>20303</v>
      </c>
    </row>
    <row r="30" spans="1:14" ht="13.5" thickBot="1">
      <c r="A30" s="365" t="s">
        <v>358</v>
      </c>
      <c r="B30" s="366">
        <v>0.8</v>
      </c>
      <c r="C30" s="365" t="s">
        <v>366</v>
      </c>
      <c r="D30" s="365" t="s">
        <v>364</v>
      </c>
      <c r="E30" s="366">
        <v>59</v>
      </c>
      <c r="F30" s="364" t="s">
        <v>333</v>
      </c>
      <c r="G30" s="370">
        <v>16683</v>
      </c>
      <c r="H30" s="372"/>
      <c r="I30" s="367"/>
      <c r="J30" s="368"/>
      <c r="K30" s="368"/>
      <c r="L30" s="367"/>
      <c r="M30" s="364" t="s">
        <v>333</v>
      </c>
      <c r="N30" s="370">
        <v>12890</v>
      </c>
    </row>
    <row r="31" spans="1:14" ht="13.5" thickBot="1">
      <c r="A31" s="372" t="s">
        <v>359</v>
      </c>
      <c r="B31" s="367">
        <v>0.8</v>
      </c>
      <c r="C31" s="368" t="s">
        <v>367</v>
      </c>
      <c r="D31" s="368" t="s">
        <v>364</v>
      </c>
      <c r="E31" s="405">
        <v>47</v>
      </c>
      <c r="F31" s="369"/>
      <c r="G31" s="373">
        <f>SUM(G21:G30)</f>
        <v>88666</v>
      </c>
      <c r="H31" s="371"/>
      <c r="I31" s="365"/>
      <c r="J31" s="365"/>
      <c r="K31" s="365"/>
      <c r="L31" s="365"/>
      <c r="M31" s="369"/>
      <c r="N31" s="373">
        <f>SUM(N21:N30)</f>
        <v>70417</v>
      </c>
    </row>
    <row r="32" spans="1:14" ht="13.5" thickBot="1">
      <c r="A32" s="374"/>
      <c r="B32" s="375"/>
      <c r="C32" s="375"/>
      <c r="D32" s="375"/>
      <c r="E32" s="375"/>
      <c r="F32" s="375"/>
      <c r="G32" s="376"/>
      <c r="H32" s="374"/>
      <c r="I32" s="375"/>
      <c r="J32" s="375"/>
      <c r="K32" s="375"/>
      <c r="L32" s="375"/>
      <c r="M32" s="375"/>
      <c r="N32" s="376"/>
    </row>
    <row r="33" ht="13.5" thickTop="1"/>
  </sheetData>
  <sheetProtection/>
  <mergeCells count="12">
    <mergeCell ref="A1:E1"/>
    <mergeCell ref="F1:G1"/>
    <mergeCell ref="A2:E2"/>
    <mergeCell ref="H2:L2"/>
    <mergeCell ref="M1:N1"/>
    <mergeCell ref="H1:L1"/>
    <mergeCell ref="A20:E20"/>
    <mergeCell ref="F20:G20"/>
    <mergeCell ref="A21:E21"/>
    <mergeCell ref="H20:L20"/>
    <mergeCell ref="M20:N20"/>
    <mergeCell ref="H21:L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"/>
  <dimension ref="A1:W26"/>
  <sheetViews>
    <sheetView zoomScalePageLayoutView="0" workbookViewId="0" topLeftCell="A1">
      <selection activeCell="M2" sqref="M2:S2"/>
    </sheetView>
  </sheetViews>
  <sheetFormatPr defaultColWidth="11.421875" defaultRowHeight="12.75"/>
  <cols>
    <col min="1" max="1" width="3.28125" style="0" customWidth="1"/>
    <col min="2" max="2" width="25.7109375" style="0" customWidth="1"/>
    <col min="3" max="3" width="3.00390625" style="0" bestFit="1" customWidth="1"/>
    <col min="5" max="9" width="3.421875" style="0" customWidth="1"/>
    <col min="13" max="13" width="3.28125" style="0" customWidth="1"/>
    <col min="14" max="14" width="25.7109375" style="0" customWidth="1"/>
    <col min="15" max="15" width="3.28125" style="0" customWidth="1"/>
    <col min="17" max="19" width="3.28125" style="0" customWidth="1"/>
    <col min="20" max="20" width="3.7109375" style="0" bestFit="1" customWidth="1"/>
    <col min="21" max="21" width="2.421875" style="0" bestFit="1" customWidth="1"/>
  </cols>
  <sheetData>
    <row r="1" spans="1:21" s="460" customFormat="1" ht="30" customHeight="1">
      <c r="A1" s="565" t="s">
        <v>390</v>
      </c>
      <c r="B1" s="565"/>
      <c r="C1" s="565"/>
      <c r="D1" s="565"/>
      <c r="E1" s="565"/>
      <c r="F1" s="565"/>
      <c r="G1" s="565"/>
      <c r="H1" s="565"/>
      <c r="I1" s="565"/>
      <c r="M1" s="565" t="s">
        <v>391</v>
      </c>
      <c r="N1" s="565"/>
      <c r="O1" s="565"/>
      <c r="P1" s="565"/>
      <c r="Q1" s="565"/>
      <c r="R1" s="565"/>
      <c r="S1" s="565"/>
      <c r="T1" s="565"/>
      <c r="U1" s="565"/>
    </row>
    <row r="2" spans="1:21" ht="12.75">
      <c r="A2" s="563"/>
      <c r="B2" s="564"/>
      <c r="C2" s="564"/>
      <c r="D2" s="564"/>
      <c r="E2" s="564"/>
      <c r="F2" s="564"/>
      <c r="G2" s="564"/>
      <c r="H2" s="160" t="s">
        <v>1</v>
      </c>
      <c r="I2" s="42" t="s">
        <v>132</v>
      </c>
      <c r="M2" s="563"/>
      <c r="N2" s="564"/>
      <c r="O2" s="564"/>
      <c r="P2" s="564"/>
      <c r="Q2" s="564"/>
      <c r="R2" s="564"/>
      <c r="S2" s="564"/>
      <c r="T2" s="160" t="s">
        <v>1</v>
      </c>
      <c r="U2" s="42" t="s">
        <v>132</v>
      </c>
    </row>
    <row r="3" spans="1:21" ht="12.75">
      <c r="A3" s="75">
        <v>1</v>
      </c>
      <c r="B3" s="98" t="s">
        <v>97</v>
      </c>
      <c r="C3" s="99">
        <v>3</v>
      </c>
      <c r="D3" s="1"/>
      <c r="E3" s="1"/>
      <c r="F3" s="1"/>
      <c r="G3" s="157">
        <f>IF(ISERROR(VLOOKUP(A3,$E$18:$F$24,2,"FAUX")),80,VLOOKUP(A3,$E$18:$F$24,2,"FAUX"))</f>
        <v>58</v>
      </c>
      <c r="H3" s="161"/>
      <c r="I3" s="44"/>
      <c r="M3" s="75">
        <v>1</v>
      </c>
      <c r="N3" s="98"/>
      <c r="O3" s="99">
        <v>3</v>
      </c>
      <c r="P3" s="1"/>
      <c r="Q3" s="1"/>
      <c r="R3" s="1"/>
      <c r="S3" s="157">
        <f>IF(ISERROR(VLOOKUP(M3,$E$18:$F$24,2,"FAUX")),80,VLOOKUP(M3,$E$18:$F$24,2,"FAUX"))</f>
        <v>58</v>
      </c>
      <c r="T3" s="161"/>
      <c r="U3" s="44"/>
    </row>
    <row r="4" spans="1:21" ht="12.75">
      <c r="A4" s="75">
        <v>2</v>
      </c>
      <c r="B4" s="10" t="s">
        <v>5</v>
      </c>
      <c r="C4" s="11">
        <v>2</v>
      </c>
      <c r="D4" s="1"/>
      <c r="E4" s="1"/>
      <c r="F4" s="1"/>
      <c r="G4" s="157">
        <f>IF(ISERROR(VLOOKUP(A4,$E$18:$F$24,2,"FAUX")),80,VLOOKUP(A4,$E$18:$F$24,2,"FAUX"))</f>
        <v>80</v>
      </c>
      <c r="H4" s="161"/>
      <c r="I4" s="44"/>
      <c r="M4" s="75">
        <v>2</v>
      </c>
      <c r="N4" s="10"/>
      <c r="O4" s="11">
        <v>2</v>
      </c>
      <c r="P4" s="1"/>
      <c r="Q4" s="1"/>
      <c r="R4" s="1"/>
      <c r="S4" s="157">
        <f>IF(ISERROR(VLOOKUP(M4,$E$18:$F$24,2,"FAUX")),80,VLOOKUP(M4,$E$18:$F$24,2,"FAUX"))</f>
        <v>80</v>
      </c>
      <c r="T4" s="161"/>
      <c r="U4" s="44"/>
    </row>
    <row r="5" spans="1:21" ht="12.75">
      <c r="A5" s="75">
        <v>3</v>
      </c>
      <c r="B5" s="10" t="s">
        <v>40</v>
      </c>
      <c r="C5" s="11">
        <v>3</v>
      </c>
      <c r="D5" s="1"/>
      <c r="E5" s="1"/>
      <c r="F5" s="1"/>
      <c r="G5" s="157">
        <f aca="true" t="shared" si="0" ref="G5:G17">IF(ISERROR(VLOOKUP(A5,$E$18:$F$24,2,"FAUX")),80,VLOOKUP(A5,$E$18:$F$24,2,"FAUX"))</f>
        <v>80</v>
      </c>
      <c r="H5" s="161"/>
      <c r="I5" s="44"/>
      <c r="M5" s="75">
        <v>3</v>
      </c>
      <c r="N5" s="10"/>
      <c r="O5" s="11">
        <v>3</v>
      </c>
      <c r="P5" s="1"/>
      <c r="Q5" s="1"/>
      <c r="R5" s="1"/>
      <c r="S5" s="157">
        <f aca="true" t="shared" si="1" ref="S5:S17">IF(ISERROR(VLOOKUP(M5,$E$18:$F$24,2,"FAUX")),80,VLOOKUP(M5,$E$18:$F$24,2,"FAUX"))</f>
        <v>80</v>
      </c>
      <c r="T5" s="161"/>
      <c r="U5" s="44"/>
    </row>
    <row r="6" spans="1:21" ht="12.75">
      <c r="A6" s="75">
        <v>4</v>
      </c>
      <c r="B6" s="92" t="s">
        <v>101</v>
      </c>
      <c r="C6" s="11">
        <v>8</v>
      </c>
      <c r="D6" s="1"/>
      <c r="E6" s="1"/>
      <c r="F6" s="1"/>
      <c r="G6" s="157">
        <f t="shared" si="0"/>
        <v>80</v>
      </c>
      <c r="H6" s="161"/>
      <c r="I6" s="44"/>
      <c r="M6" s="75">
        <v>4</v>
      </c>
      <c r="N6" s="92"/>
      <c r="O6" s="11">
        <v>8</v>
      </c>
      <c r="P6" s="1"/>
      <c r="Q6" s="1"/>
      <c r="R6" s="1"/>
      <c r="S6" s="157">
        <f t="shared" si="1"/>
        <v>80</v>
      </c>
      <c r="T6" s="161"/>
      <c r="U6" s="44"/>
    </row>
    <row r="7" spans="1:21" ht="12.75">
      <c r="A7" s="75">
        <v>5</v>
      </c>
      <c r="B7" s="10" t="s">
        <v>6</v>
      </c>
      <c r="C7" s="11">
        <v>5</v>
      </c>
      <c r="D7" s="1"/>
      <c r="E7" s="1"/>
      <c r="F7" s="1"/>
      <c r="G7" s="157">
        <f t="shared" si="0"/>
        <v>80</v>
      </c>
      <c r="H7" s="161"/>
      <c r="I7" s="44"/>
      <c r="M7" s="75">
        <v>5</v>
      </c>
      <c r="N7" s="10"/>
      <c r="O7" s="11">
        <v>5</v>
      </c>
      <c r="P7" s="1"/>
      <c r="Q7" s="1"/>
      <c r="R7" s="1"/>
      <c r="S7" s="157">
        <f t="shared" si="1"/>
        <v>80</v>
      </c>
      <c r="T7" s="161"/>
      <c r="U7" s="44"/>
    </row>
    <row r="8" spans="1:21" ht="12.75">
      <c r="A8" s="75">
        <v>6</v>
      </c>
      <c r="B8" s="10" t="s">
        <v>123</v>
      </c>
      <c r="C8" s="11">
        <v>6</v>
      </c>
      <c r="D8" s="1"/>
      <c r="E8" s="157"/>
      <c r="F8" s="157"/>
      <c r="G8" s="157">
        <f t="shared" si="0"/>
        <v>52</v>
      </c>
      <c r="H8" s="161"/>
      <c r="I8" s="44"/>
      <c r="M8" s="75">
        <v>6</v>
      </c>
      <c r="N8" s="10"/>
      <c r="O8" s="11">
        <v>6</v>
      </c>
      <c r="P8" s="1"/>
      <c r="Q8" s="157"/>
      <c r="R8" s="157"/>
      <c r="S8" s="157">
        <f t="shared" si="1"/>
        <v>52</v>
      </c>
      <c r="T8" s="161"/>
      <c r="U8" s="44"/>
    </row>
    <row r="9" spans="1:21" ht="12.75">
      <c r="A9" s="75">
        <v>7</v>
      </c>
      <c r="B9" s="10" t="s">
        <v>41</v>
      </c>
      <c r="C9" s="11">
        <v>6</v>
      </c>
      <c r="D9" s="1"/>
      <c r="E9" s="1"/>
      <c r="F9" s="1"/>
      <c r="G9" s="157">
        <f t="shared" si="0"/>
        <v>54</v>
      </c>
      <c r="H9" s="161"/>
      <c r="I9" s="44"/>
      <c r="M9" s="75">
        <v>7</v>
      </c>
      <c r="N9" s="10"/>
      <c r="O9" s="11">
        <v>6</v>
      </c>
      <c r="P9" s="1"/>
      <c r="Q9" s="1"/>
      <c r="R9" s="1"/>
      <c r="S9" s="157">
        <f t="shared" si="1"/>
        <v>54</v>
      </c>
      <c r="T9" s="161"/>
      <c r="U9" s="44"/>
    </row>
    <row r="10" spans="1:21" ht="12.75">
      <c r="A10" s="75">
        <v>8</v>
      </c>
      <c r="B10" s="10" t="s">
        <v>9</v>
      </c>
      <c r="C10" s="11">
        <v>8</v>
      </c>
      <c r="D10" s="1"/>
      <c r="E10" s="1"/>
      <c r="F10" s="1"/>
      <c r="G10" s="157">
        <f t="shared" si="0"/>
        <v>80</v>
      </c>
      <c r="H10" s="161"/>
      <c r="I10" s="44"/>
      <c r="M10" s="75">
        <v>8</v>
      </c>
      <c r="N10" s="10"/>
      <c r="O10" s="11">
        <v>8</v>
      </c>
      <c r="P10" s="1"/>
      <c r="Q10" s="1"/>
      <c r="R10" s="1"/>
      <c r="S10" s="157">
        <f t="shared" si="1"/>
        <v>80</v>
      </c>
      <c r="T10" s="161"/>
      <c r="U10" s="44"/>
    </row>
    <row r="11" spans="1:21" ht="12.75">
      <c r="A11" s="75">
        <v>9</v>
      </c>
      <c r="B11" s="10" t="s">
        <v>15</v>
      </c>
      <c r="C11" s="11">
        <v>9</v>
      </c>
      <c r="D11" s="1"/>
      <c r="E11" s="1"/>
      <c r="F11" s="1"/>
      <c r="G11" s="157">
        <f t="shared" si="0"/>
        <v>58</v>
      </c>
      <c r="H11" s="161"/>
      <c r="I11" s="44"/>
      <c r="M11" s="75">
        <v>9</v>
      </c>
      <c r="N11" s="10"/>
      <c r="O11" s="11">
        <v>9</v>
      </c>
      <c r="P11" s="1"/>
      <c r="Q11" s="1"/>
      <c r="R11" s="1"/>
      <c r="S11" s="157">
        <f t="shared" si="1"/>
        <v>58</v>
      </c>
      <c r="T11" s="161"/>
      <c r="U11" s="44"/>
    </row>
    <row r="12" spans="1:21" ht="12.75">
      <c r="A12" s="75">
        <v>10</v>
      </c>
      <c r="B12" s="10" t="s">
        <v>17</v>
      </c>
      <c r="C12" s="11">
        <v>10</v>
      </c>
      <c r="D12" s="1"/>
      <c r="E12" s="1"/>
      <c r="F12" s="1"/>
      <c r="G12" s="157">
        <f t="shared" si="0"/>
        <v>56</v>
      </c>
      <c r="H12" s="161"/>
      <c r="I12" s="44"/>
      <c r="M12" s="75">
        <v>10</v>
      </c>
      <c r="N12" s="10"/>
      <c r="O12" s="11">
        <v>10</v>
      </c>
      <c r="P12" s="1"/>
      <c r="Q12" s="1"/>
      <c r="R12" s="1"/>
      <c r="S12" s="157">
        <f t="shared" si="1"/>
        <v>56</v>
      </c>
      <c r="T12" s="161"/>
      <c r="U12" s="44"/>
    </row>
    <row r="13" spans="1:21" ht="12.75">
      <c r="A13" s="75">
        <v>11</v>
      </c>
      <c r="B13" s="10" t="s">
        <v>19</v>
      </c>
      <c r="C13" s="11">
        <v>14</v>
      </c>
      <c r="D13" s="1"/>
      <c r="E13" s="1"/>
      <c r="F13" s="1"/>
      <c r="G13" s="157">
        <f t="shared" si="0"/>
        <v>60</v>
      </c>
      <c r="H13" s="161"/>
      <c r="I13" s="44"/>
      <c r="M13" s="75">
        <v>11</v>
      </c>
      <c r="N13" s="10"/>
      <c r="O13" s="11">
        <v>14</v>
      </c>
      <c r="P13" s="1"/>
      <c r="Q13" s="1"/>
      <c r="R13" s="1"/>
      <c r="S13" s="157">
        <f t="shared" si="1"/>
        <v>60</v>
      </c>
      <c r="T13" s="161"/>
      <c r="U13" s="44"/>
    </row>
    <row r="14" spans="1:21" ht="12.75">
      <c r="A14" s="158">
        <v>12</v>
      </c>
      <c r="B14" s="10" t="s">
        <v>42</v>
      </c>
      <c r="C14" s="11">
        <v>12</v>
      </c>
      <c r="D14" s="1"/>
      <c r="E14" s="157"/>
      <c r="F14" s="157"/>
      <c r="G14" s="157">
        <f t="shared" si="0"/>
        <v>80</v>
      </c>
      <c r="H14" s="161"/>
      <c r="I14" s="44"/>
      <c r="M14" s="158">
        <v>12</v>
      </c>
      <c r="N14" s="10"/>
      <c r="O14" s="11">
        <v>12</v>
      </c>
      <c r="P14" s="1"/>
      <c r="Q14" s="157"/>
      <c r="R14" s="157"/>
      <c r="S14" s="157">
        <f t="shared" si="1"/>
        <v>80</v>
      </c>
      <c r="T14" s="161"/>
      <c r="U14" s="44"/>
    </row>
    <row r="15" spans="1:21" ht="12.75">
      <c r="A15" s="75">
        <v>13</v>
      </c>
      <c r="B15" s="10" t="s">
        <v>43</v>
      </c>
      <c r="C15" s="11">
        <v>13</v>
      </c>
      <c r="D15" s="1"/>
      <c r="E15" s="1"/>
      <c r="F15" s="1"/>
      <c r="G15" s="157">
        <f t="shared" si="0"/>
        <v>80</v>
      </c>
      <c r="H15" s="161"/>
      <c r="I15" s="44"/>
      <c r="M15" s="75">
        <v>13</v>
      </c>
      <c r="N15" s="10"/>
      <c r="O15" s="11">
        <v>13</v>
      </c>
      <c r="P15" s="1"/>
      <c r="Q15" s="1"/>
      <c r="R15" s="1"/>
      <c r="S15" s="157">
        <f t="shared" si="1"/>
        <v>80</v>
      </c>
      <c r="T15" s="161"/>
      <c r="U15" s="44"/>
    </row>
    <row r="16" spans="1:21" ht="12.75">
      <c r="A16" s="75">
        <v>14</v>
      </c>
      <c r="B16" s="10" t="s">
        <v>44</v>
      </c>
      <c r="C16" s="11">
        <v>14</v>
      </c>
      <c r="D16" s="1"/>
      <c r="E16" s="1"/>
      <c r="F16" s="1"/>
      <c r="G16" s="157">
        <f t="shared" si="0"/>
        <v>80</v>
      </c>
      <c r="H16" s="161"/>
      <c r="I16" s="44"/>
      <c r="M16" s="75">
        <v>14</v>
      </c>
      <c r="N16" s="10"/>
      <c r="O16" s="11">
        <v>14</v>
      </c>
      <c r="P16" s="1"/>
      <c r="Q16" s="1"/>
      <c r="R16" s="1"/>
      <c r="S16" s="157">
        <f t="shared" si="1"/>
        <v>80</v>
      </c>
      <c r="T16" s="161"/>
      <c r="U16" s="44"/>
    </row>
    <row r="17" spans="1:21" ht="12.75">
      <c r="A17" s="75">
        <v>15</v>
      </c>
      <c r="B17" s="10" t="s">
        <v>126</v>
      </c>
      <c r="C17" s="11">
        <v>15</v>
      </c>
      <c r="D17" s="1"/>
      <c r="E17" s="157"/>
      <c r="F17" s="157"/>
      <c r="G17" s="157">
        <f t="shared" si="0"/>
        <v>52</v>
      </c>
      <c r="H17" s="161"/>
      <c r="I17" s="44"/>
      <c r="M17" s="75">
        <v>15</v>
      </c>
      <c r="N17" s="10"/>
      <c r="O17" s="11">
        <v>15</v>
      </c>
      <c r="P17" s="1"/>
      <c r="Q17" s="157"/>
      <c r="R17" s="157"/>
      <c r="S17" s="157">
        <f t="shared" si="1"/>
        <v>52</v>
      </c>
      <c r="T17" s="161"/>
      <c r="U17" s="44"/>
    </row>
    <row r="18" spans="1:21" ht="12.75">
      <c r="A18" s="75">
        <v>16</v>
      </c>
      <c r="B18" s="10" t="s">
        <v>39</v>
      </c>
      <c r="C18" s="11">
        <v>1</v>
      </c>
      <c r="D18" s="1"/>
      <c r="E18" s="156">
        <v>1</v>
      </c>
      <c r="F18" s="157">
        <v>58</v>
      </c>
      <c r="G18" s="157">
        <f>80-F18</f>
        <v>22</v>
      </c>
      <c r="H18" s="161"/>
      <c r="I18" s="44"/>
      <c r="M18" s="75">
        <v>16</v>
      </c>
      <c r="N18" s="10"/>
      <c r="O18" s="11">
        <v>1</v>
      </c>
      <c r="P18" s="1"/>
      <c r="Q18" s="156">
        <v>1</v>
      </c>
      <c r="R18" s="157">
        <v>58</v>
      </c>
      <c r="S18" s="157">
        <f>80-R18</f>
        <v>22</v>
      </c>
      <c r="T18" s="161"/>
      <c r="U18" s="44"/>
    </row>
    <row r="19" spans="1:21" ht="12.75">
      <c r="A19" s="75">
        <v>17</v>
      </c>
      <c r="B19" s="10" t="s">
        <v>20</v>
      </c>
      <c r="C19" s="11">
        <v>14</v>
      </c>
      <c r="D19" s="1"/>
      <c r="E19" s="156">
        <v>11</v>
      </c>
      <c r="F19" s="157">
        <v>60</v>
      </c>
      <c r="G19" s="157">
        <f aca="true" t="shared" si="2" ref="G19:G24">80-F19</f>
        <v>20</v>
      </c>
      <c r="H19" s="161"/>
      <c r="I19" s="44"/>
      <c r="M19" s="75">
        <v>17</v>
      </c>
      <c r="N19" s="10"/>
      <c r="O19" s="11">
        <v>14</v>
      </c>
      <c r="P19" s="1"/>
      <c r="Q19" s="156">
        <v>11</v>
      </c>
      <c r="R19" s="157">
        <v>60</v>
      </c>
      <c r="S19" s="157">
        <f aca="true" t="shared" si="3" ref="S19:S24">80-R19</f>
        <v>20</v>
      </c>
      <c r="T19" s="161"/>
      <c r="U19" s="44"/>
    </row>
    <row r="20" spans="1:21" ht="12.75">
      <c r="A20" s="75">
        <v>18</v>
      </c>
      <c r="B20" s="10" t="s">
        <v>10</v>
      </c>
      <c r="C20" s="11">
        <v>9</v>
      </c>
      <c r="D20" s="1"/>
      <c r="E20" s="156">
        <v>9</v>
      </c>
      <c r="F20" s="157">
        <v>58</v>
      </c>
      <c r="G20" s="157">
        <f t="shared" si="2"/>
        <v>22</v>
      </c>
      <c r="H20" s="161"/>
      <c r="I20" s="44"/>
      <c r="M20" s="75">
        <v>18</v>
      </c>
      <c r="N20" s="10"/>
      <c r="O20" s="11">
        <v>9</v>
      </c>
      <c r="P20" s="1"/>
      <c r="Q20" s="156">
        <v>9</v>
      </c>
      <c r="R20" s="157">
        <v>58</v>
      </c>
      <c r="S20" s="157">
        <f t="shared" si="3"/>
        <v>22</v>
      </c>
      <c r="T20" s="161"/>
      <c r="U20" s="44"/>
    </row>
    <row r="21" spans="1:21" ht="12.75">
      <c r="A21" s="75">
        <v>19</v>
      </c>
      <c r="B21" s="10" t="s">
        <v>18</v>
      </c>
      <c r="C21" s="11">
        <v>6</v>
      </c>
      <c r="D21" s="1"/>
      <c r="E21" s="156">
        <v>6</v>
      </c>
      <c r="F21" s="157">
        <v>52</v>
      </c>
      <c r="G21" s="157">
        <f t="shared" si="2"/>
        <v>28</v>
      </c>
      <c r="H21" s="161"/>
      <c r="I21" s="44"/>
      <c r="M21" s="75">
        <v>19</v>
      </c>
      <c r="N21" s="10"/>
      <c r="O21" s="11">
        <v>6</v>
      </c>
      <c r="P21" s="1"/>
      <c r="Q21" s="156">
        <v>6</v>
      </c>
      <c r="R21" s="157">
        <v>52</v>
      </c>
      <c r="S21" s="157">
        <f t="shared" si="3"/>
        <v>28</v>
      </c>
      <c r="T21" s="161"/>
      <c r="U21" s="44"/>
    </row>
    <row r="22" spans="1:21" ht="12.75">
      <c r="A22" s="75">
        <v>20</v>
      </c>
      <c r="B22" s="146" t="s">
        <v>46</v>
      </c>
      <c r="C22" s="147">
        <v>15</v>
      </c>
      <c r="D22" s="1"/>
      <c r="E22" s="156">
        <v>10</v>
      </c>
      <c r="F22" s="149">
        <v>56</v>
      </c>
      <c r="G22" s="157">
        <f t="shared" si="2"/>
        <v>24</v>
      </c>
      <c r="H22" s="161"/>
      <c r="I22" s="44"/>
      <c r="M22" s="75">
        <v>20</v>
      </c>
      <c r="N22" s="146"/>
      <c r="O22" s="147">
        <v>15</v>
      </c>
      <c r="P22" s="1"/>
      <c r="Q22" s="156">
        <v>10</v>
      </c>
      <c r="R22" s="149">
        <v>56</v>
      </c>
      <c r="S22" s="157">
        <f t="shared" si="3"/>
        <v>24</v>
      </c>
      <c r="T22" s="161"/>
      <c r="U22" s="44"/>
    </row>
    <row r="23" spans="1:21" ht="12.75">
      <c r="A23" s="75">
        <v>21</v>
      </c>
      <c r="B23" s="10" t="s">
        <v>8</v>
      </c>
      <c r="C23" s="11">
        <v>7</v>
      </c>
      <c r="D23" s="1"/>
      <c r="E23" s="156">
        <v>7</v>
      </c>
      <c r="F23" s="149">
        <v>54</v>
      </c>
      <c r="G23" s="157">
        <f t="shared" si="2"/>
        <v>26</v>
      </c>
      <c r="H23" s="161"/>
      <c r="I23" s="44"/>
      <c r="M23" s="75">
        <v>21</v>
      </c>
      <c r="N23" s="10"/>
      <c r="O23" s="11">
        <v>7</v>
      </c>
      <c r="P23" s="1"/>
      <c r="Q23" s="156">
        <v>7</v>
      </c>
      <c r="R23" s="149">
        <v>54</v>
      </c>
      <c r="S23" s="157">
        <f t="shared" si="3"/>
        <v>26</v>
      </c>
      <c r="T23" s="161"/>
      <c r="U23" s="44"/>
    </row>
    <row r="24" spans="1:21" ht="12.75">
      <c r="A24" s="70">
        <v>22</v>
      </c>
      <c r="B24" s="104" t="s">
        <v>47</v>
      </c>
      <c r="C24" s="159">
        <v>15</v>
      </c>
      <c r="D24" s="46"/>
      <c r="E24" s="156">
        <v>15</v>
      </c>
      <c r="F24" s="163">
        <v>52</v>
      </c>
      <c r="G24" s="164">
        <f t="shared" si="2"/>
        <v>28</v>
      </c>
      <c r="H24" s="162"/>
      <c r="I24" s="47"/>
      <c r="M24" s="70">
        <v>22</v>
      </c>
      <c r="N24" s="104"/>
      <c r="O24" s="159">
        <v>15</v>
      </c>
      <c r="P24" s="46"/>
      <c r="Q24" s="156">
        <v>15</v>
      </c>
      <c r="R24" s="163">
        <v>52</v>
      </c>
      <c r="S24" s="164">
        <f t="shared" si="3"/>
        <v>28</v>
      </c>
      <c r="T24" s="162"/>
      <c r="U24" s="47"/>
    </row>
    <row r="26" spans="1:23" ht="13.5" thickBot="1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</row>
    <row r="27" ht="13.5" thickTop="1"/>
  </sheetData>
  <sheetProtection/>
  <mergeCells count="4">
    <mergeCell ref="A2:G2"/>
    <mergeCell ref="A1:I1"/>
    <mergeCell ref="M1:U1"/>
    <mergeCell ref="M2:S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2:U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14.140625" style="0" bestFit="1" customWidth="1"/>
    <col min="3" max="3" width="5.8515625" style="0" bestFit="1" customWidth="1"/>
    <col min="4" max="4" width="4.28125" style="0" bestFit="1" customWidth="1"/>
    <col min="5" max="5" width="6.140625" style="0" bestFit="1" customWidth="1"/>
    <col min="6" max="6" width="5.28125" style="0" customWidth="1"/>
    <col min="7" max="7" width="6.8515625" style="0" bestFit="1" customWidth="1"/>
    <col min="8" max="21" width="6.57421875" style="0" customWidth="1"/>
  </cols>
  <sheetData>
    <row r="1" ht="36.75" customHeight="1"/>
    <row r="2" spans="1:21" ht="12.75">
      <c r="A2" s="80">
        <f ca="1">TODAY()</f>
        <v>40774</v>
      </c>
      <c r="B2" s="13" t="s">
        <v>21</v>
      </c>
      <c r="C2" s="14" t="s">
        <v>3</v>
      </c>
      <c r="D2" s="14" t="s">
        <v>0</v>
      </c>
      <c r="E2" s="23" t="s">
        <v>22</v>
      </c>
      <c r="F2" s="23" t="s">
        <v>23</v>
      </c>
      <c r="G2" s="57" t="s">
        <v>24</v>
      </c>
      <c r="H2" s="22" t="s">
        <v>25</v>
      </c>
      <c r="I2" s="22" t="s">
        <v>26</v>
      </c>
      <c r="J2" s="22" t="s">
        <v>27</v>
      </c>
      <c r="K2" s="22" t="s">
        <v>28</v>
      </c>
      <c r="L2" s="22" t="s">
        <v>29</v>
      </c>
      <c r="M2" s="22" t="s">
        <v>30</v>
      </c>
      <c r="N2" s="22" t="s">
        <v>31</v>
      </c>
      <c r="O2" s="22" t="s">
        <v>32</v>
      </c>
      <c r="P2" s="22" t="s">
        <v>33</v>
      </c>
      <c r="Q2" s="22" t="s">
        <v>34</v>
      </c>
      <c r="R2" s="22" t="s">
        <v>35</v>
      </c>
      <c r="S2" s="22" t="s">
        <v>36</v>
      </c>
      <c r="T2" s="22" t="s">
        <v>37</v>
      </c>
      <c r="U2" s="68" t="s">
        <v>38</v>
      </c>
    </row>
  </sheetData>
  <sheetProtection/>
  <hyperlinks>
    <hyperlink ref="C2" r:id="rId1" display="http://www.xvmanager.fr/ClubHouse.php?page=equipe_effectif.php&amp;name=59760636f0c8f28b161cbc669492aee4"/>
    <hyperlink ref="D2" r:id="rId2" display="http://www.xvmanager.fr/ClubHouse.php?page=equipe_effectif.php&amp;name=59760636f0c8f28b161cbc669492aee4"/>
    <hyperlink ref="G2" r:id="rId3" display="http://www.xvmanager.fr/ClubHouse.php?page=equipe_effectif.php&amp;name=33b8eea9895c78e1346bedba7a07f552"/>
    <hyperlink ref="H2" r:id="rId4" display="http://www.xvmanager.fr/ClubHouse.php?page=equipe_effectif.php&amp;name=33b8eea9895c78e1346bedba7a07f552"/>
    <hyperlink ref="I2" r:id="rId5" display="http://www.xvmanager.fr/ClubHouse.php?page=equipe_effectif.php&amp;name=33b8eea9895c78e1346bedba7a07f552"/>
    <hyperlink ref="J2" r:id="rId6" display="http://www.xvmanager.fr/ClubHouse.php?page=equipe_effectif.php&amp;name=33b8eea9895c78e1346bedba7a07f552"/>
    <hyperlink ref="K2" r:id="rId7" display="http://www.xvmanager.fr/ClubHouse.php?page=equipe_effectif.php&amp;name=33b8eea9895c78e1346bedba7a07f552"/>
    <hyperlink ref="L2" r:id="rId8" display="http://www.xvmanager.fr/ClubHouse.php?page=equipe_effectif.php&amp;name=33b8eea9895c78e1346bedba7a07f552"/>
    <hyperlink ref="M2" r:id="rId9" display="http://www.xvmanager.fr/ClubHouse.php?page=equipe_effectif.php&amp;name=33b8eea9895c78e1346bedba7a07f552"/>
    <hyperlink ref="N2" r:id="rId10" display="http://www.xvmanager.fr/ClubHouse.php?page=equipe_effectif.php&amp;name=33b8eea9895c78e1346bedba7a07f552"/>
    <hyperlink ref="O2" r:id="rId11" display="http://www.xvmanager.fr/ClubHouse.php?page=equipe_effectif.php&amp;name=33b8eea9895c78e1346bedba7a07f552"/>
    <hyperlink ref="P2" r:id="rId12" display="http://www.xvmanager.fr/ClubHouse.php?page=equipe_effectif.php&amp;name=33b8eea9895c78e1346bedba7a07f552"/>
    <hyperlink ref="Q2" r:id="rId13" display="http://www.xvmanager.fr/ClubHouse.php?page=equipe_effectif.php&amp;name=33b8eea9895c78e1346bedba7a07f552"/>
    <hyperlink ref="R2" r:id="rId14" display="http://www.xvmanager.fr/ClubHouse.php?page=equipe_effectif.php&amp;name=33b8eea9895c78e1346bedba7a07f552"/>
    <hyperlink ref="S2" r:id="rId15" display="http://www.xvmanager.fr/ClubHouse.php?page=equipe_effectif.php&amp;name=33b8eea9895c78e1346bedba7a07f552"/>
    <hyperlink ref="T2" r:id="rId16" display="http://www.xvmanager.fr/ClubHouse.php?page=equipe_effectif.php&amp;name=33b8eea9895c78e1346bedba7a07f552"/>
    <hyperlink ref="U2" r:id="rId17" display="http://www.xvmanager.fr/ClubHouse.php?page=equipe_effectif.php&amp;name=33b8eea9895c78e1346bedba7a07f552"/>
  </hyperlinks>
  <printOptions/>
  <pageMargins left="0.787401575" right="0.787401575" top="0.984251969" bottom="0.984251969" header="0.4921259845" footer="0.4921259845"/>
  <pageSetup horizontalDpi="600" verticalDpi="600" orientation="portrait" paperSize="9" r:id="rId19"/>
  <legacy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K126"/>
  <sheetViews>
    <sheetView zoomScalePageLayoutView="0" workbookViewId="0" topLeftCell="A1">
      <pane xSplit="9" ySplit="1" topLeftCell="AB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B3" sqref="AB3"/>
    </sheetView>
  </sheetViews>
  <sheetFormatPr defaultColWidth="11.421875" defaultRowHeight="12.75"/>
  <cols>
    <col min="1" max="1" width="10.00390625" style="0" customWidth="1"/>
    <col min="2" max="2" width="17.28125" style="0" customWidth="1"/>
    <col min="3" max="3" width="6.7109375" style="0" customWidth="1"/>
    <col min="4" max="4" width="5.7109375" style="0" customWidth="1"/>
    <col min="5" max="5" width="4.28125" style="0" customWidth="1"/>
    <col min="6" max="6" width="3.57421875" style="0" customWidth="1"/>
    <col min="7" max="7" width="6.140625" style="0" bestFit="1" customWidth="1"/>
    <col min="8" max="8" width="5.57421875" style="0" bestFit="1" customWidth="1"/>
    <col min="9" max="9" width="6.28125" style="0" bestFit="1" customWidth="1"/>
    <col min="10" max="26" width="5.7109375" style="0" customWidth="1"/>
    <col min="27" max="27" width="5.7109375" style="88" hidden="1" customWidth="1"/>
    <col min="28" max="28" width="5.7109375" style="0" customWidth="1"/>
    <col min="29" max="29" width="5.7109375" style="0" hidden="1" customWidth="1"/>
    <col min="30" max="30" width="5.7109375" style="0" customWidth="1"/>
    <col min="33" max="37" width="10.7109375" style="0" customWidth="1"/>
  </cols>
  <sheetData>
    <row r="1" spans="1:37" s="19" customFormat="1" ht="38.25">
      <c r="A1" s="236">
        <f>40-COUNTIF(A2:A41,"")</f>
        <v>38</v>
      </c>
      <c r="B1" s="16" t="s">
        <v>21</v>
      </c>
      <c r="C1" s="65" t="s">
        <v>3</v>
      </c>
      <c r="D1" s="65" t="s">
        <v>0</v>
      </c>
      <c r="E1" s="65" t="s">
        <v>78</v>
      </c>
      <c r="F1" s="65" t="s">
        <v>79</v>
      </c>
      <c r="G1" s="65" t="s">
        <v>22</v>
      </c>
      <c r="H1" s="65" t="s">
        <v>23</v>
      </c>
      <c r="I1" s="65" t="s">
        <v>24</v>
      </c>
      <c r="J1" s="65" t="s">
        <v>67</v>
      </c>
      <c r="K1" s="65" t="s">
        <v>68</v>
      </c>
      <c r="L1" s="65" t="s">
        <v>55</v>
      </c>
      <c r="M1" s="65" t="s">
        <v>69</v>
      </c>
      <c r="N1" s="65" t="s">
        <v>26</v>
      </c>
      <c r="O1" s="65" t="s">
        <v>91</v>
      </c>
      <c r="P1" s="65" t="s">
        <v>57</v>
      </c>
      <c r="Q1" s="65" t="s">
        <v>30</v>
      </c>
      <c r="R1" s="65" t="s">
        <v>60</v>
      </c>
      <c r="S1" s="65" t="s">
        <v>70</v>
      </c>
      <c r="T1" s="65" t="s">
        <v>34</v>
      </c>
      <c r="U1" s="65" t="s">
        <v>35</v>
      </c>
      <c r="V1" s="65" t="s">
        <v>71</v>
      </c>
      <c r="W1" s="65" t="s">
        <v>72</v>
      </c>
      <c r="X1" s="65" t="s">
        <v>61</v>
      </c>
      <c r="Y1" s="65" t="s">
        <v>73</v>
      </c>
      <c r="Z1" s="65" t="s">
        <v>38</v>
      </c>
      <c r="AA1" s="140" t="s">
        <v>200</v>
      </c>
      <c r="AB1" s="141" t="s">
        <v>197</v>
      </c>
      <c r="AC1" s="141" t="s">
        <v>198</v>
      </c>
      <c r="AD1" s="141" t="s">
        <v>199</v>
      </c>
      <c r="AE1" s="18" t="s">
        <v>215</v>
      </c>
      <c r="AF1" s="18" t="s">
        <v>2</v>
      </c>
      <c r="AG1" s="305">
        <v>40787</v>
      </c>
      <c r="AH1" s="305">
        <v>40909</v>
      </c>
      <c r="AI1" s="305">
        <v>41030</v>
      </c>
      <c r="AJ1" s="305">
        <v>41153</v>
      </c>
      <c r="AK1" s="305">
        <v>41275</v>
      </c>
    </row>
    <row r="2" spans="1:37" ht="12.75" customHeight="1">
      <c r="A2" s="169" t="s">
        <v>402</v>
      </c>
      <c r="B2" s="10" t="s">
        <v>106</v>
      </c>
      <c r="C2" s="11">
        <v>1</v>
      </c>
      <c r="D2" s="11">
        <v>24</v>
      </c>
      <c r="E2" s="32" t="str">
        <f>IF(D2&gt;=22,"S","E")</f>
        <v>S</v>
      </c>
      <c r="F2" s="11" t="s">
        <v>88</v>
      </c>
      <c r="G2" s="11">
        <v>71.75</v>
      </c>
      <c r="H2" s="11">
        <v>100</v>
      </c>
      <c r="I2" s="33">
        <v>0.975</v>
      </c>
      <c r="J2" s="11">
        <v>100.56</v>
      </c>
      <c r="K2" s="11">
        <v>1</v>
      </c>
      <c r="L2" s="11">
        <v>21.51</v>
      </c>
      <c r="M2" s="11">
        <v>22.6</v>
      </c>
      <c r="N2" s="11">
        <v>31.69</v>
      </c>
      <c r="O2" s="11">
        <v>19.07</v>
      </c>
      <c r="P2" s="11">
        <v>94.01</v>
      </c>
      <c r="Q2" s="11">
        <v>84.1</v>
      </c>
      <c r="R2" s="11">
        <v>11.08</v>
      </c>
      <c r="S2" s="11">
        <v>1</v>
      </c>
      <c r="T2" s="11">
        <v>43.13</v>
      </c>
      <c r="U2" s="11">
        <v>113.19</v>
      </c>
      <c r="V2" s="11">
        <v>106.04</v>
      </c>
      <c r="W2" s="11">
        <v>19.82</v>
      </c>
      <c r="X2" s="11">
        <v>92.73</v>
      </c>
      <c r="Y2" s="226">
        <v>1.41</v>
      </c>
      <c r="Z2" s="497">
        <v>29.99</v>
      </c>
      <c r="AA2" s="101"/>
      <c r="AB2" s="149"/>
      <c r="AC2" s="149"/>
      <c r="AD2" s="149"/>
      <c r="AE2" s="338" t="s">
        <v>222</v>
      </c>
      <c r="AF2" s="408">
        <v>7118</v>
      </c>
      <c r="AG2" s="320" t="s">
        <v>238</v>
      </c>
      <c r="AH2" s="320" t="s">
        <v>238</v>
      </c>
      <c r="AI2" s="320" t="s">
        <v>238</v>
      </c>
      <c r="AJ2" s="320" t="s">
        <v>238</v>
      </c>
      <c r="AK2" s="320" t="s">
        <v>238</v>
      </c>
    </row>
    <row r="3" spans="1:37" ht="12.75" customHeight="1">
      <c r="A3" s="496" t="s">
        <v>402</v>
      </c>
      <c r="B3" s="10" t="s">
        <v>166</v>
      </c>
      <c r="C3" s="29">
        <v>1</v>
      </c>
      <c r="D3" s="29">
        <v>23</v>
      </c>
      <c r="E3" s="32" t="str">
        <f>IF(D3&gt;=22,"S","E")</f>
        <v>S</v>
      </c>
      <c r="F3" s="29" t="s">
        <v>88</v>
      </c>
      <c r="G3" s="11">
        <v>54.64</v>
      </c>
      <c r="H3" s="11">
        <v>100</v>
      </c>
      <c r="I3" s="33">
        <v>1</v>
      </c>
      <c r="J3" s="11">
        <v>101.05</v>
      </c>
      <c r="K3" s="11">
        <v>1</v>
      </c>
      <c r="L3" s="11">
        <v>17.28</v>
      </c>
      <c r="M3" s="11">
        <v>8.85</v>
      </c>
      <c r="N3" s="11">
        <v>29.55</v>
      </c>
      <c r="O3" s="11">
        <v>8.85</v>
      </c>
      <c r="P3" s="11">
        <v>16.02</v>
      </c>
      <c r="Q3" s="11">
        <v>58.31</v>
      </c>
      <c r="R3" s="11">
        <v>3.06</v>
      </c>
      <c r="S3" s="11">
        <v>1.06</v>
      </c>
      <c r="T3" s="11">
        <v>32.61</v>
      </c>
      <c r="U3" s="11">
        <v>101.35</v>
      </c>
      <c r="V3" s="11">
        <v>101.23</v>
      </c>
      <c r="W3" s="11">
        <v>18.76</v>
      </c>
      <c r="X3" s="11">
        <v>89.51</v>
      </c>
      <c r="Y3" s="226">
        <v>1.41</v>
      </c>
      <c r="Z3" s="227">
        <v>1</v>
      </c>
      <c r="AA3" s="101"/>
      <c r="AB3" s="149"/>
      <c r="AC3" s="149"/>
      <c r="AD3" s="149"/>
      <c r="AE3" s="326" t="s">
        <v>206</v>
      </c>
      <c r="AF3" s="408">
        <v>3633</v>
      </c>
      <c r="AG3" s="457" t="s">
        <v>265</v>
      </c>
      <c r="AH3" s="457" t="s">
        <v>265</v>
      </c>
      <c r="AI3" s="454" t="s">
        <v>293</v>
      </c>
      <c r="AJ3" s="81"/>
      <c r="AK3" s="81"/>
    </row>
    <row r="4" spans="1:37" ht="12.75" customHeight="1">
      <c r="A4" s="165" t="s">
        <v>402</v>
      </c>
      <c r="B4" s="257" t="s">
        <v>231</v>
      </c>
      <c r="C4" s="32">
        <v>1</v>
      </c>
      <c r="D4" s="32">
        <v>21</v>
      </c>
      <c r="E4" s="32" t="str">
        <f>IF(D4&gt;=22,"S","E")</f>
        <v>E</v>
      </c>
      <c r="F4" s="32" t="s">
        <v>88</v>
      </c>
      <c r="G4" s="38">
        <v>47.74</v>
      </c>
      <c r="H4" s="11">
        <v>75.2</v>
      </c>
      <c r="I4" s="33">
        <v>0.988</v>
      </c>
      <c r="J4" s="11">
        <v>52.25</v>
      </c>
      <c r="K4" s="11">
        <v>1</v>
      </c>
      <c r="L4" s="11">
        <v>16.19</v>
      </c>
      <c r="M4" s="11">
        <v>19.96</v>
      </c>
      <c r="N4" s="11">
        <v>44.75</v>
      </c>
      <c r="O4" s="11">
        <v>19.96</v>
      </c>
      <c r="P4" s="11">
        <v>31.91</v>
      </c>
      <c r="Q4" s="11">
        <v>56.84</v>
      </c>
      <c r="R4" s="11">
        <v>1.56</v>
      </c>
      <c r="S4" s="11">
        <v>1</v>
      </c>
      <c r="T4" s="11">
        <v>30.08</v>
      </c>
      <c r="U4" s="11">
        <v>105.58</v>
      </c>
      <c r="V4" s="11">
        <v>77.99</v>
      </c>
      <c r="W4" s="11">
        <v>16.19</v>
      </c>
      <c r="X4" s="11">
        <v>63.66</v>
      </c>
      <c r="Y4" s="226">
        <v>1.41</v>
      </c>
      <c r="Z4" s="227">
        <v>1</v>
      </c>
      <c r="AA4" s="7"/>
      <c r="AB4" s="149"/>
      <c r="AC4" s="149"/>
      <c r="AD4" s="149"/>
      <c r="AE4" s="332" t="s">
        <v>205</v>
      </c>
      <c r="AF4" s="408">
        <v>1651</v>
      </c>
      <c r="AG4" s="392" t="s">
        <v>239</v>
      </c>
      <c r="AH4" s="457" t="s">
        <v>265</v>
      </c>
      <c r="AI4" s="457" t="s">
        <v>265</v>
      </c>
      <c r="AJ4" s="454" t="s">
        <v>293</v>
      </c>
      <c r="AK4" s="81"/>
    </row>
    <row r="5" spans="1:37" ht="12.75" customHeight="1">
      <c r="A5" s="165" t="s">
        <v>402</v>
      </c>
      <c r="B5" s="257" t="s">
        <v>232</v>
      </c>
      <c r="C5" s="32">
        <v>1</v>
      </c>
      <c r="D5" s="32">
        <v>20</v>
      </c>
      <c r="E5" s="32" t="str">
        <f>IF(D5&gt;=22,"S","E")</f>
        <v>E</v>
      </c>
      <c r="F5" s="32" t="s">
        <v>88</v>
      </c>
      <c r="G5" s="38">
        <v>25.61</v>
      </c>
      <c r="H5" s="11">
        <v>37.54</v>
      </c>
      <c r="I5" s="33">
        <v>1</v>
      </c>
      <c r="J5" s="11">
        <v>16.25</v>
      </c>
      <c r="K5" s="11">
        <v>1</v>
      </c>
      <c r="L5" s="11">
        <v>11.72</v>
      </c>
      <c r="M5" s="11">
        <v>5.3</v>
      </c>
      <c r="N5" s="11">
        <v>15.35</v>
      </c>
      <c r="O5" s="11">
        <v>5.3</v>
      </c>
      <c r="P5" s="11">
        <v>8.39</v>
      </c>
      <c r="Q5" s="11">
        <v>30.84</v>
      </c>
      <c r="R5" s="11">
        <v>1.56</v>
      </c>
      <c r="S5" s="11">
        <v>1</v>
      </c>
      <c r="T5" s="11">
        <v>18.22</v>
      </c>
      <c r="U5" s="11">
        <v>68.14</v>
      </c>
      <c r="V5" s="11">
        <v>48.76</v>
      </c>
      <c r="W5" s="11">
        <v>11.72</v>
      </c>
      <c r="X5" s="11">
        <v>35.1</v>
      </c>
      <c r="Y5" s="226">
        <v>1.41</v>
      </c>
      <c r="Z5" s="227">
        <v>1</v>
      </c>
      <c r="AA5" s="101"/>
      <c r="AB5" s="149"/>
      <c r="AC5" s="149"/>
      <c r="AD5" s="149"/>
      <c r="AE5" s="328" t="s">
        <v>223</v>
      </c>
      <c r="AF5" s="408">
        <v>0</v>
      </c>
      <c r="AG5" s="391" t="s">
        <v>240</v>
      </c>
      <c r="AH5" s="456" t="s">
        <v>239</v>
      </c>
      <c r="AI5" s="457" t="s">
        <v>265</v>
      </c>
      <c r="AJ5" s="393" t="s">
        <v>265</v>
      </c>
      <c r="AK5" s="457" t="s">
        <v>265</v>
      </c>
    </row>
    <row r="6" spans="1:37" ht="12.75" customHeight="1">
      <c r="A6" s="166" t="s">
        <v>402</v>
      </c>
      <c r="B6" s="257" t="s">
        <v>152</v>
      </c>
      <c r="C6" s="32">
        <v>5</v>
      </c>
      <c r="D6" s="32">
        <v>33</v>
      </c>
      <c r="E6" s="32" t="str">
        <f>IF(D6&gt;=22,"S","E")</f>
        <v>S</v>
      </c>
      <c r="F6" s="32" t="s">
        <v>87</v>
      </c>
      <c r="G6" s="38">
        <v>64.06</v>
      </c>
      <c r="H6" s="11">
        <v>100</v>
      </c>
      <c r="I6" s="33">
        <v>0.975</v>
      </c>
      <c r="J6" s="11">
        <v>100.91</v>
      </c>
      <c r="K6" s="11">
        <v>1</v>
      </c>
      <c r="L6" s="11">
        <v>1.17</v>
      </c>
      <c r="M6" s="11">
        <v>2.28</v>
      </c>
      <c r="N6" s="11">
        <v>33.94</v>
      </c>
      <c r="O6" s="11">
        <v>32.99</v>
      </c>
      <c r="P6" s="11">
        <v>48.94</v>
      </c>
      <c r="Q6" s="11">
        <v>97.97</v>
      </c>
      <c r="R6" s="11">
        <v>28.31</v>
      </c>
      <c r="S6" s="11">
        <v>6.81</v>
      </c>
      <c r="T6" s="11">
        <v>57.37</v>
      </c>
      <c r="U6" s="11">
        <v>90.98</v>
      </c>
      <c r="V6" s="11">
        <v>38.93</v>
      </c>
      <c r="W6" s="11">
        <v>80.03</v>
      </c>
      <c r="X6" s="11">
        <v>81.97</v>
      </c>
      <c r="Y6" s="226">
        <v>77.93</v>
      </c>
      <c r="Z6" s="227">
        <v>21.69</v>
      </c>
      <c r="AA6" s="7"/>
      <c r="AB6" s="149"/>
      <c r="AC6" s="149"/>
      <c r="AD6" s="149"/>
      <c r="AE6" s="332" t="s">
        <v>205</v>
      </c>
      <c r="AF6" s="408">
        <v>5446</v>
      </c>
      <c r="AG6" s="457" t="s">
        <v>265</v>
      </c>
      <c r="AH6" s="454" t="s">
        <v>293</v>
      </c>
      <c r="AI6" s="401"/>
      <c r="AJ6" s="401"/>
      <c r="AK6" s="401"/>
    </row>
    <row r="7" spans="1:37" ht="12.75" customHeight="1">
      <c r="A7" s="166" t="s">
        <v>402</v>
      </c>
      <c r="B7" s="31" t="s">
        <v>156</v>
      </c>
      <c r="C7" s="32">
        <v>2</v>
      </c>
      <c r="D7" s="32">
        <v>23</v>
      </c>
      <c r="E7" s="32" t="str">
        <f>IF(D7&gt;=22,"S","E")</f>
        <v>S</v>
      </c>
      <c r="F7" s="32" t="s">
        <v>87</v>
      </c>
      <c r="G7" s="38">
        <v>60.54</v>
      </c>
      <c r="H7" s="11">
        <v>100</v>
      </c>
      <c r="I7" s="33">
        <v>0.923</v>
      </c>
      <c r="J7" s="11">
        <v>96.48</v>
      </c>
      <c r="K7" s="11">
        <v>1</v>
      </c>
      <c r="L7" s="11">
        <v>38.78</v>
      </c>
      <c r="M7" s="11">
        <v>2.28</v>
      </c>
      <c r="N7" s="11">
        <v>25.73</v>
      </c>
      <c r="O7" s="11">
        <v>53.42</v>
      </c>
      <c r="P7" s="11">
        <v>74.91</v>
      </c>
      <c r="Q7" s="11">
        <v>94.07</v>
      </c>
      <c r="R7" s="11">
        <v>34.29</v>
      </c>
      <c r="S7" s="11">
        <v>1.19</v>
      </c>
      <c r="T7" s="11">
        <v>62.75</v>
      </c>
      <c r="U7" s="11">
        <v>78.17</v>
      </c>
      <c r="V7" s="11">
        <v>35.02</v>
      </c>
      <c r="W7" s="11">
        <v>74.1</v>
      </c>
      <c r="X7" s="11">
        <v>81.32</v>
      </c>
      <c r="Y7" s="226">
        <v>54.35</v>
      </c>
      <c r="Z7" s="227">
        <v>25.01</v>
      </c>
      <c r="AA7" s="7"/>
      <c r="AB7" s="149"/>
      <c r="AC7" s="149"/>
      <c r="AD7" s="149"/>
      <c r="AE7" s="328" t="s">
        <v>223</v>
      </c>
      <c r="AF7" s="408">
        <v>4728</v>
      </c>
      <c r="AG7" s="320" t="s">
        <v>238</v>
      </c>
      <c r="AH7" s="320" t="s">
        <v>238</v>
      </c>
      <c r="AI7" s="320" t="s">
        <v>238</v>
      </c>
      <c r="AJ7" s="320" t="s">
        <v>238</v>
      </c>
      <c r="AK7" s="320" t="s">
        <v>238</v>
      </c>
    </row>
    <row r="8" spans="1:37" ht="12.75" customHeight="1">
      <c r="A8" s="166" t="s">
        <v>402</v>
      </c>
      <c r="B8" s="31" t="s">
        <v>165</v>
      </c>
      <c r="C8" s="32">
        <v>5</v>
      </c>
      <c r="D8" s="32">
        <v>27</v>
      </c>
      <c r="E8" s="32" t="str">
        <f>IF(D8&gt;=22,"S","E")</f>
        <v>S</v>
      </c>
      <c r="F8" s="32" t="s">
        <v>87</v>
      </c>
      <c r="G8" s="38">
        <v>60.06</v>
      </c>
      <c r="H8" s="11">
        <v>100</v>
      </c>
      <c r="I8" s="33">
        <v>0.949</v>
      </c>
      <c r="J8" s="11">
        <v>102.91</v>
      </c>
      <c r="K8" s="11">
        <v>1</v>
      </c>
      <c r="L8" s="11">
        <v>54.08</v>
      </c>
      <c r="M8" s="11">
        <v>2.28</v>
      </c>
      <c r="N8" s="11">
        <v>36.56</v>
      </c>
      <c r="O8" s="11">
        <v>17.18</v>
      </c>
      <c r="P8" s="11">
        <v>10.9</v>
      </c>
      <c r="Q8" s="11">
        <v>91.92</v>
      </c>
      <c r="R8" s="11">
        <v>16.58</v>
      </c>
      <c r="S8" s="11">
        <v>1.19</v>
      </c>
      <c r="T8" s="11">
        <v>72.27</v>
      </c>
      <c r="U8" s="11">
        <v>89.62</v>
      </c>
      <c r="V8" s="11">
        <v>12.67</v>
      </c>
      <c r="W8" s="11">
        <v>79.2</v>
      </c>
      <c r="X8" s="11">
        <v>75.37</v>
      </c>
      <c r="Y8" s="226">
        <v>50.14</v>
      </c>
      <c r="Z8" s="227">
        <v>11.4</v>
      </c>
      <c r="AA8" s="101"/>
      <c r="AB8" s="149"/>
      <c r="AC8" s="149"/>
      <c r="AD8" s="149"/>
      <c r="AE8" s="333" t="s">
        <v>217</v>
      </c>
      <c r="AF8" s="408">
        <v>4651</v>
      </c>
      <c r="AG8" s="320" t="s">
        <v>238</v>
      </c>
      <c r="AH8" s="457" t="s">
        <v>265</v>
      </c>
      <c r="AI8" s="454" t="s">
        <v>293</v>
      </c>
      <c r="AJ8" s="81"/>
      <c r="AK8" s="81"/>
    </row>
    <row r="9" spans="1:37" ht="12.75" customHeight="1">
      <c r="A9" s="166" t="s">
        <v>402</v>
      </c>
      <c r="B9" s="31" t="s">
        <v>164</v>
      </c>
      <c r="C9" s="32">
        <v>2</v>
      </c>
      <c r="D9" s="32">
        <v>30</v>
      </c>
      <c r="E9" s="32" t="str">
        <f>IF(D9&gt;=22,"S","E")</f>
        <v>S</v>
      </c>
      <c r="F9" s="32" t="s">
        <v>87</v>
      </c>
      <c r="G9" s="38">
        <v>49.98</v>
      </c>
      <c r="H9" s="11">
        <v>100</v>
      </c>
      <c r="I9" s="33">
        <v>1</v>
      </c>
      <c r="J9" s="11">
        <v>79.85</v>
      </c>
      <c r="K9" s="11">
        <v>3.02</v>
      </c>
      <c r="L9" s="11">
        <v>4.38</v>
      </c>
      <c r="M9" s="11">
        <v>5.11</v>
      </c>
      <c r="N9" s="11">
        <v>36.94</v>
      </c>
      <c r="O9" s="11">
        <v>35.92</v>
      </c>
      <c r="P9" s="11">
        <v>48.13</v>
      </c>
      <c r="Q9" s="11">
        <v>93.58</v>
      </c>
      <c r="R9" s="11">
        <v>28.18</v>
      </c>
      <c r="S9" s="11">
        <v>9.52</v>
      </c>
      <c r="T9" s="11">
        <v>18.49</v>
      </c>
      <c r="U9" s="11">
        <v>90.04</v>
      </c>
      <c r="V9" s="11">
        <v>1.93</v>
      </c>
      <c r="W9" s="11">
        <v>72.64</v>
      </c>
      <c r="X9" s="11">
        <v>46.13</v>
      </c>
      <c r="Y9" s="226">
        <v>61.83</v>
      </c>
      <c r="Z9" s="227">
        <v>12.5</v>
      </c>
      <c r="AA9" s="7"/>
      <c r="AB9" s="149"/>
      <c r="AC9" s="149"/>
      <c r="AD9" s="149"/>
      <c r="AE9" s="337" t="s">
        <v>216</v>
      </c>
      <c r="AF9" s="408">
        <v>2766</v>
      </c>
      <c r="AG9" s="503" t="s">
        <v>265</v>
      </c>
      <c r="AH9" s="500" t="s">
        <v>293</v>
      </c>
      <c r="AI9" s="81"/>
      <c r="AJ9" s="81"/>
      <c r="AK9" s="81"/>
    </row>
    <row r="10" spans="1:37" ht="12.75" customHeight="1">
      <c r="A10" s="166" t="s">
        <v>402</v>
      </c>
      <c r="B10" s="31" t="s">
        <v>137</v>
      </c>
      <c r="C10" s="32">
        <v>5</v>
      </c>
      <c r="D10" s="32">
        <v>22</v>
      </c>
      <c r="E10" s="32" t="str">
        <f>IF(D10&gt;=22,"S","E")</f>
        <v>S</v>
      </c>
      <c r="F10" s="32" t="s">
        <v>87</v>
      </c>
      <c r="G10" s="38">
        <v>46.65</v>
      </c>
      <c r="H10" s="11">
        <v>60.78</v>
      </c>
      <c r="I10" s="33">
        <v>1</v>
      </c>
      <c r="J10" s="11">
        <v>67.15</v>
      </c>
      <c r="K10" s="11">
        <v>1</v>
      </c>
      <c r="L10" s="11">
        <v>26.07</v>
      </c>
      <c r="M10" s="11">
        <v>2.28</v>
      </c>
      <c r="N10" s="11">
        <v>18.9</v>
      </c>
      <c r="O10" s="11">
        <v>9.12</v>
      </c>
      <c r="P10" s="11">
        <v>5.37</v>
      </c>
      <c r="Q10" s="11">
        <v>77.71</v>
      </c>
      <c r="R10" s="11">
        <v>9.23</v>
      </c>
      <c r="S10" s="11">
        <v>1.19</v>
      </c>
      <c r="T10" s="11">
        <v>40.16</v>
      </c>
      <c r="U10" s="11">
        <v>73.75</v>
      </c>
      <c r="V10" s="11">
        <v>12.3</v>
      </c>
      <c r="W10" s="11">
        <v>68.03</v>
      </c>
      <c r="X10" s="11">
        <v>74.88</v>
      </c>
      <c r="Y10" s="226">
        <v>26.85</v>
      </c>
      <c r="Z10" s="227">
        <v>1</v>
      </c>
      <c r="AA10" s="7"/>
      <c r="AB10" s="149"/>
      <c r="AC10" s="149"/>
      <c r="AD10" s="149"/>
      <c r="AE10" s="329" t="s">
        <v>224</v>
      </c>
      <c r="AF10" s="408">
        <v>2182</v>
      </c>
      <c r="AG10" s="320" t="s">
        <v>238</v>
      </c>
      <c r="AH10" s="320" t="s">
        <v>238</v>
      </c>
      <c r="AI10" s="503" t="s">
        <v>265</v>
      </c>
      <c r="AJ10" s="503" t="s">
        <v>265</v>
      </c>
      <c r="AK10" s="503" t="s">
        <v>265</v>
      </c>
    </row>
    <row r="11" spans="1:37" ht="12.75" customHeight="1">
      <c r="A11" s="166" t="s">
        <v>402</v>
      </c>
      <c r="B11" s="31" t="s">
        <v>76</v>
      </c>
      <c r="C11" s="32">
        <v>5</v>
      </c>
      <c r="D11" s="32">
        <v>21</v>
      </c>
      <c r="E11" s="32" t="str">
        <f>IF(D11&gt;=22,"S","E")</f>
        <v>E</v>
      </c>
      <c r="F11" s="32" t="s">
        <v>87</v>
      </c>
      <c r="G11" s="32">
        <v>45.88</v>
      </c>
      <c r="H11" s="32">
        <v>100</v>
      </c>
      <c r="I11" s="33">
        <v>0.923</v>
      </c>
      <c r="J11" s="32">
        <v>62.02</v>
      </c>
      <c r="K11" s="32">
        <v>1</v>
      </c>
      <c r="L11" s="32">
        <v>27.94</v>
      </c>
      <c r="M11" s="32">
        <v>2.28</v>
      </c>
      <c r="N11" s="32">
        <v>21</v>
      </c>
      <c r="O11" s="32">
        <v>9.12</v>
      </c>
      <c r="P11" s="32">
        <v>9.31</v>
      </c>
      <c r="Q11" s="32">
        <v>83.47</v>
      </c>
      <c r="R11" s="32">
        <v>7.89</v>
      </c>
      <c r="S11" s="32">
        <v>1.19</v>
      </c>
      <c r="T11" s="32">
        <v>39.31</v>
      </c>
      <c r="U11" s="32">
        <v>68.91</v>
      </c>
      <c r="V11" s="32">
        <v>13.45</v>
      </c>
      <c r="W11" s="32">
        <v>66.25</v>
      </c>
      <c r="X11" s="32">
        <v>62.7</v>
      </c>
      <c r="Y11" s="224">
        <v>20.35</v>
      </c>
      <c r="Z11" s="224">
        <v>1</v>
      </c>
      <c r="AA11" s="7"/>
      <c r="AB11" s="149"/>
      <c r="AC11" s="149"/>
      <c r="AD11" s="149"/>
      <c r="AE11" s="328" t="s">
        <v>223</v>
      </c>
      <c r="AF11" s="408">
        <v>2082</v>
      </c>
      <c r="AG11" s="502" t="s">
        <v>239</v>
      </c>
      <c r="AH11" s="320" t="s">
        <v>238</v>
      </c>
      <c r="AI11" s="320" t="s">
        <v>238</v>
      </c>
      <c r="AJ11" s="320" t="s">
        <v>238</v>
      </c>
      <c r="AK11" s="320" t="s">
        <v>238</v>
      </c>
    </row>
    <row r="12" spans="1:37" ht="12.75" customHeight="1">
      <c r="A12" s="166" t="s">
        <v>402</v>
      </c>
      <c r="B12" s="92" t="s">
        <v>98</v>
      </c>
      <c r="C12" s="32">
        <v>2</v>
      </c>
      <c r="D12" s="100">
        <v>22</v>
      </c>
      <c r="E12" s="32" t="str">
        <f>IF(D12&gt;=22,"S","E")</f>
        <v>S</v>
      </c>
      <c r="F12" s="100" t="s">
        <v>87</v>
      </c>
      <c r="G12" s="38">
        <v>44.39</v>
      </c>
      <c r="H12" s="11">
        <v>63.15</v>
      </c>
      <c r="I12" s="33">
        <v>0.871</v>
      </c>
      <c r="J12" s="11">
        <v>51.94</v>
      </c>
      <c r="K12" s="11">
        <v>1</v>
      </c>
      <c r="L12" s="11">
        <v>28.92</v>
      </c>
      <c r="M12" s="11">
        <v>2.28</v>
      </c>
      <c r="N12" s="11">
        <v>23.07</v>
      </c>
      <c r="O12" s="11">
        <v>9.12</v>
      </c>
      <c r="P12" s="11">
        <v>9.66</v>
      </c>
      <c r="Q12" s="11">
        <v>87.54</v>
      </c>
      <c r="R12" s="11">
        <v>10.39</v>
      </c>
      <c r="S12" s="11">
        <v>1.19</v>
      </c>
      <c r="T12" s="11">
        <v>42.99</v>
      </c>
      <c r="U12" s="11">
        <v>68.89</v>
      </c>
      <c r="V12" s="11">
        <v>7.01</v>
      </c>
      <c r="W12" s="11">
        <v>65.03</v>
      </c>
      <c r="X12" s="11">
        <v>59.92</v>
      </c>
      <c r="Y12" s="226">
        <v>22.21</v>
      </c>
      <c r="Z12" s="227">
        <v>1</v>
      </c>
      <c r="AA12" s="7"/>
      <c r="AB12" s="149"/>
      <c r="AC12" s="149"/>
      <c r="AD12" s="149"/>
      <c r="AE12" s="348" t="s">
        <v>226</v>
      </c>
      <c r="AF12" s="408">
        <v>1961</v>
      </c>
      <c r="AG12" s="320" t="s">
        <v>238</v>
      </c>
      <c r="AH12" s="320" t="s">
        <v>238</v>
      </c>
      <c r="AI12" s="320" t="s">
        <v>238</v>
      </c>
      <c r="AJ12" s="503" t="s">
        <v>265</v>
      </c>
      <c r="AK12" s="500" t="s">
        <v>293</v>
      </c>
    </row>
    <row r="13" spans="1:37" ht="12.75" customHeight="1">
      <c r="A13" s="166" t="s">
        <v>402</v>
      </c>
      <c r="B13" s="31" t="s">
        <v>163</v>
      </c>
      <c r="C13" s="32">
        <v>2</v>
      </c>
      <c r="D13" s="32">
        <v>28</v>
      </c>
      <c r="E13" s="32" t="str">
        <f>IF(D13&gt;=22,"S","E")</f>
        <v>S</v>
      </c>
      <c r="F13" s="32" t="s">
        <v>87</v>
      </c>
      <c r="G13" s="38">
        <v>43.8</v>
      </c>
      <c r="H13" s="11">
        <v>100</v>
      </c>
      <c r="I13" s="33">
        <v>1</v>
      </c>
      <c r="J13" s="11">
        <v>54.48</v>
      </c>
      <c r="K13" s="11">
        <v>1</v>
      </c>
      <c r="L13" s="11">
        <v>1.17</v>
      </c>
      <c r="M13" s="11">
        <v>2.28</v>
      </c>
      <c r="N13" s="11">
        <v>5.49</v>
      </c>
      <c r="O13" s="11">
        <v>9.12</v>
      </c>
      <c r="P13" s="11">
        <v>16.11</v>
      </c>
      <c r="Q13" s="11">
        <v>78.81</v>
      </c>
      <c r="R13" s="11">
        <v>8.82</v>
      </c>
      <c r="S13" s="11">
        <v>1.19</v>
      </c>
      <c r="T13" s="11">
        <v>15.6</v>
      </c>
      <c r="U13" s="11">
        <v>89.54</v>
      </c>
      <c r="V13" s="11">
        <v>10.42</v>
      </c>
      <c r="W13" s="11">
        <v>80.87</v>
      </c>
      <c r="X13" s="11">
        <v>59.91</v>
      </c>
      <c r="Y13" s="226">
        <v>30.97</v>
      </c>
      <c r="Z13" s="227">
        <v>2.82</v>
      </c>
      <c r="AA13" s="7"/>
      <c r="AB13" s="149"/>
      <c r="AC13" s="149"/>
      <c r="AD13" s="149"/>
      <c r="AE13" s="330" t="s">
        <v>207</v>
      </c>
      <c r="AF13" s="408">
        <v>1863</v>
      </c>
      <c r="AG13" s="500" t="s">
        <v>293</v>
      </c>
      <c r="AH13" s="401"/>
      <c r="AI13" s="81"/>
      <c r="AJ13" s="81"/>
      <c r="AK13" s="81"/>
    </row>
    <row r="14" spans="1:37" ht="12.75" customHeight="1">
      <c r="A14" s="166" t="s">
        <v>402</v>
      </c>
      <c r="B14" s="31" t="s">
        <v>136</v>
      </c>
      <c r="C14" s="100">
        <v>4</v>
      </c>
      <c r="D14" s="32">
        <v>21</v>
      </c>
      <c r="E14" s="32" t="str">
        <f>IF(D14&gt;=22,"S","E")</f>
        <v>E</v>
      </c>
      <c r="F14" s="32" t="s">
        <v>87</v>
      </c>
      <c r="G14" s="38">
        <v>43.61</v>
      </c>
      <c r="H14" s="11">
        <v>100</v>
      </c>
      <c r="I14" s="33">
        <v>0.923</v>
      </c>
      <c r="J14" s="11">
        <v>61.95</v>
      </c>
      <c r="K14" s="11">
        <v>1</v>
      </c>
      <c r="L14" s="11">
        <v>27.58</v>
      </c>
      <c r="M14" s="11">
        <v>2.28</v>
      </c>
      <c r="N14" s="11">
        <v>20.99</v>
      </c>
      <c r="O14" s="11">
        <v>9.12</v>
      </c>
      <c r="P14" s="11">
        <v>5.37</v>
      </c>
      <c r="Q14" s="11">
        <v>77.89</v>
      </c>
      <c r="R14" s="11">
        <v>7.89</v>
      </c>
      <c r="S14" s="11">
        <v>1.19</v>
      </c>
      <c r="T14" s="11">
        <v>36.4</v>
      </c>
      <c r="U14" s="11">
        <v>67.3</v>
      </c>
      <c r="V14" s="11">
        <v>12.3</v>
      </c>
      <c r="W14" s="11">
        <v>59.93</v>
      </c>
      <c r="X14" s="11">
        <v>67.22</v>
      </c>
      <c r="Y14" s="226">
        <v>21.37</v>
      </c>
      <c r="Z14" s="227">
        <v>1.39</v>
      </c>
      <c r="AA14" s="101"/>
      <c r="AB14" s="149"/>
      <c r="AC14" s="149"/>
      <c r="AD14" s="149"/>
      <c r="AE14" s="329" t="s">
        <v>224</v>
      </c>
      <c r="AF14" s="408">
        <v>1779</v>
      </c>
      <c r="AG14" s="502" t="s">
        <v>239</v>
      </c>
      <c r="AH14" s="503" t="s">
        <v>265</v>
      </c>
      <c r="AI14" s="320" t="s">
        <v>238</v>
      </c>
      <c r="AJ14" s="320" t="s">
        <v>238</v>
      </c>
      <c r="AK14" s="320" t="s">
        <v>238</v>
      </c>
    </row>
    <row r="15" spans="1:37" ht="12.75" customHeight="1">
      <c r="A15" s="166" t="s">
        <v>402</v>
      </c>
      <c r="B15" s="31" t="s">
        <v>74</v>
      </c>
      <c r="C15" s="32">
        <v>2</v>
      </c>
      <c r="D15" s="32">
        <v>23</v>
      </c>
      <c r="E15" s="32" t="str">
        <f>IF(D15&gt;=22,"S","E")</f>
        <v>S</v>
      </c>
      <c r="F15" s="32" t="s">
        <v>87</v>
      </c>
      <c r="G15" s="38">
        <v>42.56</v>
      </c>
      <c r="H15" s="11">
        <v>100</v>
      </c>
      <c r="I15" s="33">
        <v>1</v>
      </c>
      <c r="J15" s="11">
        <v>56.14</v>
      </c>
      <c r="K15" s="11">
        <v>1</v>
      </c>
      <c r="L15" s="11">
        <v>16.92</v>
      </c>
      <c r="M15" s="11">
        <v>2.28</v>
      </c>
      <c r="N15" s="11">
        <v>12.48</v>
      </c>
      <c r="O15" s="11">
        <v>9.78</v>
      </c>
      <c r="P15" s="11">
        <v>8.97</v>
      </c>
      <c r="Q15" s="11">
        <v>84.74</v>
      </c>
      <c r="R15" s="11">
        <v>7.89</v>
      </c>
      <c r="S15" s="11">
        <v>1.19</v>
      </c>
      <c r="T15" s="11">
        <v>22.56</v>
      </c>
      <c r="U15" s="11">
        <v>69.76</v>
      </c>
      <c r="V15" s="11">
        <v>14.51</v>
      </c>
      <c r="W15" s="11">
        <v>65.92</v>
      </c>
      <c r="X15" s="11">
        <v>65.23</v>
      </c>
      <c r="Y15" s="226">
        <v>26.03</v>
      </c>
      <c r="Z15" s="227">
        <v>2.83</v>
      </c>
      <c r="AA15" s="101"/>
      <c r="AB15" s="149"/>
      <c r="AC15" s="149"/>
      <c r="AD15" s="149"/>
      <c r="AE15" s="336" t="s">
        <v>225</v>
      </c>
      <c r="AF15" s="408">
        <v>1684</v>
      </c>
      <c r="AG15" s="503" t="s">
        <v>265</v>
      </c>
      <c r="AH15" s="393" t="s">
        <v>265</v>
      </c>
      <c r="AI15" s="500" t="s">
        <v>293</v>
      </c>
      <c r="AJ15" s="81"/>
      <c r="AK15" s="81"/>
    </row>
    <row r="16" spans="1:37" ht="12.75" customHeight="1">
      <c r="A16" s="166" t="s">
        <v>402</v>
      </c>
      <c r="B16" s="257" t="s">
        <v>233</v>
      </c>
      <c r="C16" s="32">
        <v>2</v>
      </c>
      <c r="D16" s="32">
        <v>20</v>
      </c>
      <c r="E16" s="32" t="str">
        <f>IF(D16&gt;=22,"S","E")</f>
        <v>E</v>
      </c>
      <c r="F16" s="32" t="s">
        <v>87</v>
      </c>
      <c r="G16" s="38">
        <v>15.12</v>
      </c>
      <c r="H16" s="11">
        <v>68.54</v>
      </c>
      <c r="I16" s="33">
        <v>0.715</v>
      </c>
      <c r="J16" s="11">
        <v>15.05</v>
      </c>
      <c r="K16" s="11">
        <v>1</v>
      </c>
      <c r="L16" s="11">
        <v>12.64</v>
      </c>
      <c r="M16" s="11">
        <v>1.45</v>
      </c>
      <c r="N16" s="11">
        <v>9.9</v>
      </c>
      <c r="O16" s="11">
        <v>6.93</v>
      </c>
      <c r="P16" s="11">
        <v>1.76</v>
      </c>
      <c r="Q16" s="11">
        <v>31.05</v>
      </c>
      <c r="R16" s="11">
        <v>4.38</v>
      </c>
      <c r="S16" s="11">
        <v>1.09</v>
      </c>
      <c r="T16" s="11">
        <v>21.1</v>
      </c>
      <c r="U16" s="11">
        <v>16.02</v>
      </c>
      <c r="V16" s="11">
        <v>2.03</v>
      </c>
      <c r="W16" s="11">
        <v>18.43</v>
      </c>
      <c r="X16" s="11">
        <v>25.33</v>
      </c>
      <c r="Y16" s="226">
        <v>5.41</v>
      </c>
      <c r="Z16" s="227">
        <v>1</v>
      </c>
      <c r="AA16" s="101"/>
      <c r="AB16" s="149"/>
      <c r="AC16" s="149"/>
      <c r="AD16" s="149"/>
      <c r="AE16" s="328" t="s">
        <v>223</v>
      </c>
      <c r="AF16" s="408">
        <v>0</v>
      </c>
      <c r="AG16" s="502" t="s">
        <v>239</v>
      </c>
      <c r="AH16" s="502" t="s">
        <v>239</v>
      </c>
      <c r="AI16" s="503" t="s">
        <v>265</v>
      </c>
      <c r="AJ16" s="320" t="s">
        <v>238</v>
      </c>
      <c r="AK16" s="503" t="s">
        <v>265</v>
      </c>
    </row>
    <row r="17" spans="1:37" ht="12.75" customHeight="1">
      <c r="A17" s="166" t="s">
        <v>402</v>
      </c>
      <c r="B17" s="172" t="s">
        <v>296</v>
      </c>
      <c r="C17" s="11">
        <v>2</v>
      </c>
      <c r="D17" s="11">
        <v>19</v>
      </c>
      <c r="E17" s="32" t="str">
        <f>IF(D17&gt;=22,"S","E")</f>
        <v>E</v>
      </c>
      <c r="F17" s="32" t="s">
        <v>87</v>
      </c>
      <c r="G17" s="38">
        <v>2.49</v>
      </c>
      <c r="H17" s="11">
        <v>12.05</v>
      </c>
      <c r="I17" s="33">
        <v>0.78</v>
      </c>
      <c r="J17" s="11">
        <v>1.26</v>
      </c>
      <c r="K17" s="11">
        <v>1</v>
      </c>
      <c r="L17" s="11">
        <v>2.57</v>
      </c>
      <c r="M17" s="11">
        <v>1</v>
      </c>
      <c r="N17" s="11">
        <v>2.57</v>
      </c>
      <c r="O17" s="11">
        <v>2.24</v>
      </c>
      <c r="P17" s="11">
        <v>1.18</v>
      </c>
      <c r="Q17" s="11">
        <v>3.77</v>
      </c>
      <c r="R17" s="11">
        <v>2.2</v>
      </c>
      <c r="S17" s="11">
        <v>1</v>
      </c>
      <c r="T17" s="11">
        <v>3.22</v>
      </c>
      <c r="U17" s="11">
        <v>4.69</v>
      </c>
      <c r="V17" s="11">
        <v>1</v>
      </c>
      <c r="W17" s="11">
        <v>2.57</v>
      </c>
      <c r="X17" s="11">
        <v>2.95</v>
      </c>
      <c r="Y17" s="11">
        <v>1.64</v>
      </c>
      <c r="Z17" s="407">
        <v>1</v>
      </c>
      <c r="AA17" s="7"/>
      <c r="AB17" s="149"/>
      <c r="AC17" s="149"/>
      <c r="AD17" s="149"/>
      <c r="AE17" s="328" t="s">
        <v>223</v>
      </c>
      <c r="AF17" s="408">
        <v>0</v>
      </c>
      <c r="AG17" s="392" t="s">
        <v>239</v>
      </c>
      <c r="AH17" s="456" t="s">
        <v>239</v>
      </c>
      <c r="AI17" s="502" t="s">
        <v>239</v>
      </c>
      <c r="AJ17" s="503" t="s">
        <v>265</v>
      </c>
      <c r="AK17" s="320" t="s">
        <v>238</v>
      </c>
    </row>
    <row r="18" spans="1:37" ht="12.75" customHeight="1">
      <c r="A18" s="166" t="s">
        <v>402</v>
      </c>
      <c r="B18" s="257" t="s">
        <v>381</v>
      </c>
      <c r="C18" s="32">
        <v>5</v>
      </c>
      <c r="D18" s="32">
        <v>20</v>
      </c>
      <c r="E18" s="32" t="str">
        <f>IF(D18&gt;=22,"S","E")</f>
        <v>E</v>
      </c>
      <c r="F18" s="32" t="s">
        <v>87</v>
      </c>
      <c r="G18" s="38">
        <v>2.41</v>
      </c>
      <c r="H18" s="11">
        <v>1.5</v>
      </c>
      <c r="I18" s="33">
        <v>1</v>
      </c>
      <c r="J18" s="11">
        <v>1.26</v>
      </c>
      <c r="K18" s="11">
        <v>1</v>
      </c>
      <c r="L18" s="11">
        <v>2.4</v>
      </c>
      <c r="M18" s="11">
        <v>1</v>
      </c>
      <c r="N18" s="11">
        <v>2.4</v>
      </c>
      <c r="O18" s="11">
        <v>1</v>
      </c>
      <c r="P18" s="11">
        <v>1</v>
      </c>
      <c r="Q18" s="11">
        <v>3.54</v>
      </c>
      <c r="R18" s="11">
        <v>2.2</v>
      </c>
      <c r="S18" s="11">
        <v>1</v>
      </c>
      <c r="T18" s="11">
        <v>2.98</v>
      </c>
      <c r="U18" s="11">
        <v>4.45</v>
      </c>
      <c r="V18" s="11">
        <v>1</v>
      </c>
      <c r="W18" s="11">
        <v>2.4</v>
      </c>
      <c r="X18" s="11">
        <v>3.26</v>
      </c>
      <c r="Y18" s="11">
        <v>1</v>
      </c>
      <c r="Z18" s="407">
        <v>1</v>
      </c>
      <c r="AA18" s="101"/>
      <c r="AB18" s="149"/>
      <c r="AC18" s="149"/>
      <c r="AD18" s="149"/>
      <c r="AE18" s="328" t="s">
        <v>223</v>
      </c>
      <c r="AF18" s="408">
        <v>0</v>
      </c>
      <c r="AG18" s="501" t="s">
        <v>240</v>
      </c>
      <c r="AH18" s="501" t="s">
        <v>240</v>
      </c>
      <c r="AI18" s="500" t="s">
        <v>293</v>
      </c>
      <c r="AJ18" s="403"/>
      <c r="AK18" s="403"/>
    </row>
    <row r="19" spans="1:37" ht="12.75" customHeight="1">
      <c r="A19" s="167" t="s">
        <v>402</v>
      </c>
      <c r="B19" s="10" t="s">
        <v>7</v>
      </c>
      <c r="C19" s="32">
        <v>8</v>
      </c>
      <c r="D19" s="32">
        <v>29</v>
      </c>
      <c r="E19" s="32" t="str">
        <f>IF(D19&gt;=22,"S","E")</f>
        <v>S</v>
      </c>
      <c r="F19" s="32" t="s">
        <v>89</v>
      </c>
      <c r="G19" s="38">
        <v>70.47</v>
      </c>
      <c r="H19" s="11">
        <v>100</v>
      </c>
      <c r="I19" s="33">
        <v>0.949</v>
      </c>
      <c r="J19" s="11">
        <v>98.15</v>
      </c>
      <c r="K19" s="11">
        <v>90.02</v>
      </c>
      <c r="L19" s="11">
        <v>68.5</v>
      </c>
      <c r="M19" s="11">
        <v>5.83</v>
      </c>
      <c r="N19" s="11">
        <v>78.99</v>
      </c>
      <c r="O19" s="11">
        <v>82.9</v>
      </c>
      <c r="P19" s="11">
        <v>7.19</v>
      </c>
      <c r="Q19" s="11">
        <v>94.23</v>
      </c>
      <c r="R19" s="11">
        <v>100.44</v>
      </c>
      <c r="S19" s="11">
        <v>79.95</v>
      </c>
      <c r="T19" s="11">
        <v>106.51</v>
      </c>
      <c r="U19" s="11">
        <v>89.72</v>
      </c>
      <c r="V19" s="11">
        <v>1</v>
      </c>
      <c r="W19" s="11">
        <v>24.3</v>
      </c>
      <c r="X19" s="11">
        <v>63.78</v>
      </c>
      <c r="Y19" s="226">
        <v>20.44</v>
      </c>
      <c r="Z19" s="227">
        <v>1.13</v>
      </c>
      <c r="AA19" s="7"/>
      <c r="AB19" s="149"/>
      <c r="AC19" s="149"/>
      <c r="AD19" s="149"/>
      <c r="AE19" s="335" t="s">
        <v>221</v>
      </c>
      <c r="AF19" s="408">
        <v>6947</v>
      </c>
      <c r="AG19" s="320" t="s">
        <v>238</v>
      </c>
      <c r="AH19" s="320" t="s">
        <v>238</v>
      </c>
      <c r="AI19" s="454" t="s">
        <v>293</v>
      </c>
      <c r="AJ19" s="81"/>
      <c r="AK19" s="81"/>
    </row>
    <row r="20" spans="1:37" ht="12.75" customHeight="1">
      <c r="A20" s="167" t="s">
        <v>402</v>
      </c>
      <c r="B20" s="31" t="s">
        <v>167</v>
      </c>
      <c r="C20" s="32">
        <v>8</v>
      </c>
      <c r="D20" s="32">
        <v>26</v>
      </c>
      <c r="E20" s="32" t="str">
        <f>IF(D20&gt;=22,"S","E")</f>
        <v>S</v>
      </c>
      <c r="F20" s="32" t="s">
        <v>89</v>
      </c>
      <c r="G20" s="32">
        <v>67.42</v>
      </c>
      <c r="H20" s="32">
        <v>100</v>
      </c>
      <c r="I20" s="33">
        <v>0.936</v>
      </c>
      <c r="J20" s="32">
        <v>98.39</v>
      </c>
      <c r="K20" s="32">
        <v>97.74</v>
      </c>
      <c r="L20" s="32">
        <v>51.33</v>
      </c>
      <c r="M20" s="32">
        <v>2.59</v>
      </c>
      <c r="N20" s="32">
        <v>78.72</v>
      </c>
      <c r="O20" s="32">
        <v>18.03</v>
      </c>
      <c r="P20" s="32">
        <v>3.53</v>
      </c>
      <c r="Q20" s="32">
        <v>95.43</v>
      </c>
      <c r="R20" s="32">
        <v>85.39</v>
      </c>
      <c r="S20" s="32">
        <v>8.28</v>
      </c>
      <c r="T20" s="32">
        <v>109.5</v>
      </c>
      <c r="U20" s="32">
        <v>87.97</v>
      </c>
      <c r="V20" s="32">
        <v>1</v>
      </c>
      <c r="W20" s="32">
        <v>47.01</v>
      </c>
      <c r="X20" s="32">
        <v>73</v>
      </c>
      <c r="Y20" s="224">
        <v>3.37</v>
      </c>
      <c r="Z20" s="224">
        <v>1.13</v>
      </c>
      <c r="AA20" s="7"/>
      <c r="AB20" s="149"/>
      <c r="AC20" s="149"/>
      <c r="AD20" s="149"/>
      <c r="AE20" s="331" t="s">
        <v>219</v>
      </c>
      <c r="AF20" s="408">
        <v>6212</v>
      </c>
      <c r="AG20" s="320" t="s">
        <v>238</v>
      </c>
      <c r="AH20" s="320" t="s">
        <v>238</v>
      </c>
      <c r="AI20" s="503" t="s">
        <v>265</v>
      </c>
      <c r="AJ20" s="500" t="s">
        <v>293</v>
      </c>
      <c r="AK20" s="81"/>
    </row>
    <row r="21" spans="1:37" ht="12.75" customHeight="1">
      <c r="A21" s="167" t="s">
        <v>402</v>
      </c>
      <c r="B21" s="31" t="s">
        <v>139</v>
      </c>
      <c r="C21" s="32">
        <v>8</v>
      </c>
      <c r="D21" s="32">
        <v>20</v>
      </c>
      <c r="E21" s="32" t="str">
        <f>IF(D21&gt;=22,"S","E")</f>
        <v>E</v>
      </c>
      <c r="F21" s="32" t="s">
        <v>89</v>
      </c>
      <c r="G21" s="38">
        <v>57.64</v>
      </c>
      <c r="H21" s="11">
        <v>100</v>
      </c>
      <c r="I21" s="33">
        <v>0.936</v>
      </c>
      <c r="J21" s="11">
        <v>42.65</v>
      </c>
      <c r="K21" s="11">
        <v>77.5</v>
      </c>
      <c r="L21" s="11">
        <v>52.15</v>
      </c>
      <c r="M21" s="11">
        <v>2.59</v>
      </c>
      <c r="N21" s="11">
        <v>77.73</v>
      </c>
      <c r="O21" s="11">
        <v>13.69</v>
      </c>
      <c r="P21" s="11">
        <v>1.61</v>
      </c>
      <c r="Q21" s="11">
        <v>78.99</v>
      </c>
      <c r="R21" s="11">
        <v>87.37</v>
      </c>
      <c r="S21" s="11">
        <v>7.43</v>
      </c>
      <c r="T21" s="11">
        <v>116.88</v>
      </c>
      <c r="U21" s="11">
        <v>70.83</v>
      </c>
      <c r="V21" s="11">
        <v>1</v>
      </c>
      <c r="W21" s="11">
        <v>38.81</v>
      </c>
      <c r="X21" s="11">
        <v>53.73</v>
      </c>
      <c r="Y21" s="226">
        <v>3.37</v>
      </c>
      <c r="Z21" s="227">
        <v>1</v>
      </c>
      <c r="AA21" s="101"/>
      <c r="AB21" s="149"/>
      <c r="AC21" s="149"/>
      <c r="AD21" s="149"/>
      <c r="AE21" s="328" t="s">
        <v>223</v>
      </c>
      <c r="AF21" s="408">
        <v>3863</v>
      </c>
      <c r="AG21" s="502" t="s">
        <v>239</v>
      </c>
      <c r="AH21" s="502" t="s">
        <v>239</v>
      </c>
      <c r="AI21" s="320" t="s">
        <v>238</v>
      </c>
      <c r="AJ21" s="320" t="s">
        <v>238</v>
      </c>
      <c r="AK21" s="320" t="s">
        <v>238</v>
      </c>
    </row>
    <row r="22" spans="1:37" ht="12.75" customHeight="1">
      <c r="A22" s="167" t="s">
        <v>402</v>
      </c>
      <c r="B22" s="31" t="s">
        <v>148</v>
      </c>
      <c r="C22" s="32">
        <v>8</v>
      </c>
      <c r="D22" s="32">
        <v>31</v>
      </c>
      <c r="E22" s="32" t="str">
        <f>IF(D22&gt;=22,"S","E")</f>
        <v>S</v>
      </c>
      <c r="F22" s="36" t="s">
        <v>89</v>
      </c>
      <c r="G22" s="197">
        <v>57.12</v>
      </c>
      <c r="H22" s="194">
        <v>100</v>
      </c>
      <c r="I22" s="33">
        <v>0.988</v>
      </c>
      <c r="J22" s="194">
        <v>100.83</v>
      </c>
      <c r="K22" s="194">
        <v>75.41</v>
      </c>
      <c r="L22" s="194">
        <v>30.56</v>
      </c>
      <c r="M22" s="194">
        <v>2.83</v>
      </c>
      <c r="N22" s="194">
        <v>68.61</v>
      </c>
      <c r="O22" s="194">
        <v>21.09</v>
      </c>
      <c r="P22" s="194">
        <v>3.25</v>
      </c>
      <c r="Q22" s="194">
        <v>56.06</v>
      </c>
      <c r="R22" s="194">
        <v>86.46</v>
      </c>
      <c r="S22" s="194">
        <v>87.63</v>
      </c>
      <c r="T22" s="194">
        <v>95.33</v>
      </c>
      <c r="U22" s="194">
        <v>95.09</v>
      </c>
      <c r="V22" s="194">
        <v>1</v>
      </c>
      <c r="W22" s="194">
        <v>14.34</v>
      </c>
      <c r="X22" s="194">
        <v>32.37</v>
      </c>
      <c r="Y22" s="226">
        <v>51.77</v>
      </c>
      <c r="Z22" s="227">
        <v>1.13</v>
      </c>
      <c r="AA22" s="101"/>
      <c r="AB22" s="149"/>
      <c r="AC22" s="149"/>
      <c r="AD22" s="149"/>
      <c r="AE22" s="325" t="s">
        <v>220</v>
      </c>
      <c r="AF22" s="408">
        <v>3986</v>
      </c>
      <c r="AG22" s="503" t="s">
        <v>265</v>
      </c>
      <c r="AH22" s="500" t="s">
        <v>293</v>
      </c>
      <c r="AI22" s="81"/>
      <c r="AJ22" s="81"/>
      <c r="AK22" s="81"/>
    </row>
    <row r="23" spans="1:37" ht="12.75" customHeight="1">
      <c r="A23" s="167" t="s">
        <v>402</v>
      </c>
      <c r="B23" s="10" t="s">
        <v>138</v>
      </c>
      <c r="C23" s="11">
        <v>8</v>
      </c>
      <c r="D23" s="11">
        <v>20</v>
      </c>
      <c r="E23" s="32" t="str">
        <f>IF(D23&gt;=22,"S","E")</f>
        <v>E</v>
      </c>
      <c r="F23" s="32" t="s">
        <v>89</v>
      </c>
      <c r="G23" s="38">
        <v>55.95</v>
      </c>
      <c r="H23" s="11">
        <v>100</v>
      </c>
      <c r="I23" s="33">
        <v>0.936</v>
      </c>
      <c r="J23" s="11">
        <v>42.29</v>
      </c>
      <c r="K23" s="11">
        <v>72.6</v>
      </c>
      <c r="L23" s="11">
        <v>49.07</v>
      </c>
      <c r="M23" s="11">
        <v>2.59</v>
      </c>
      <c r="N23" s="11">
        <v>72.47</v>
      </c>
      <c r="O23" s="11">
        <v>13.69</v>
      </c>
      <c r="P23" s="11">
        <v>1.38</v>
      </c>
      <c r="Q23" s="11">
        <v>79.53</v>
      </c>
      <c r="R23" s="11">
        <v>82.9</v>
      </c>
      <c r="S23" s="11">
        <v>7.43</v>
      </c>
      <c r="T23" s="11">
        <v>112.71</v>
      </c>
      <c r="U23" s="11">
        <v>70.42</v>
      </c>
      <c r="V23" s="11">
        <v>1</v>
      </c>
      <c r="W23" s="11">
        <v>35.35</v>
      </c>
      <c r="X23" s="11">
        <v>53.91</v>
      </c>
      <c r="Y23" s="226">
        <v>3.37</v>
      </c>
      <c r="Z23" s="227">
        <v>1</v>
      </c>
      <c r="AA23" s="101"/>
      <c r="AB23" s="149"/>
      <c r="AC23" s="149"/>
      <c r="AD23" s="149"/>
      <c r="AE23" s="328" t="s">
        <v>223</v>
      </c>
      <c r="AF23" s="408">
        <v>3532</v>
      </c>
      <c r="AG23" s="502" t="s">
        <v>239</v>
      </c>
      <c r="AH23" s="502" t="s">
        <v>239</v>
      </c>
      <c r="AI23" s="320" t="s">
        <v>238</v>
      </c>
      <c r="AJ23" s="320" t="s">
        <v>238</v>
      </c>
      <c r="AK23" s="320" t="s">
        <v>238</v>
      </c>
    </row>
    <row r="24" spans="1:37" ht="12.75" customHeight="1">
      <c r="A24" s="167" t="s">
        <v>402</v>
      </c>
      <c r="B24" s="31" t="s">
        <v>77</v>
      </c>
      <c r="C24" s="32">
        <v>6</v>
      </c>
      <c r="D24" s="32">
        <v>23</v>
      </c>
      <c r="E24" s="32" t="str">
        <f>IF(D24&gt;=22,"S","E")</f>
        <v>S</v>
      </c>
      <c r="F24" s="32" t="s">
        <v>89</v>
      </c>
      <c r="G24" s="38">
        <v>51.61</v>
      </c>
      <c r="H24" s="11">
        <v>100</v>
      </c>
      <c r="I24" s="33">
        <v>1</v>
      </c>
      <c r="J24" s="11">
        <v>31.66</v>
      </c>
      <c r="K24" s="11">
        <v>58.19</v>
      </c>
      <c r="L24" s="11">
        <v>60.86</v>
      </c>
      <c r="M24" s="11">
        <v>2.59</v>
      </c>
      <c r="N24" s="11">
        <v>64.57</v>
      </c>
      <c r="O24" s="11">
        <v>24.63</v>
      </c>
      <c r="P24" s="11">
        <v>2.11</v>
      </c>
      <c r="Q24" s="11">
        <v>80.1</v>
      </c>
      <c r="R24" s="11">
        <v>71.6</v>
      </c>
      <c r="S24" s="11">
        <v>19.58</v>
      </c>
      <c r="T24" s="11">
        <v>98.37</v>
      </c>
      <c r="U24" s="11">
        <v>82.07</v>
      </c>
      <c r="V24" s="11">
        <v>1</v>
      </c>
      <c r="W24" s="11">
        <v>29.27</v>
      </c>
      <c r="X24" s="11">
        <v>54.77</v>
      </c>
      <c r="Y24" s="226">
        <v>3.37</v>
      </c>
      <c r="Z24" s="227">
        <v>1.13</v>
      </c>
      <c r="AA24" s="7"/>
      <c r="AB24" s="149"/>
      <c r="AC24" s="149"/>
      <c r="AD24" s="149"/>
      <c r="AE24" s="327" t="s">
        <v>227</v>
      </c>
      <c r="AF24" s="408">
        <v>2797</v>
      </c>
      <c r="AG24" s="320" t="s">
        <v>238</v>
      </c>
      <c r="AH24" s="320" t="s">
        <v>238</v>
      </c>
      <c r="AI24" s="503" t="s">
        <v>265</v>
      </c>
      <c r="AJ24" s="503" t="s">
        <v>265</v>
      </c>
      <c r="AK24" s="503" t="s">
        <v>265</v>
      </c>
    </row>
    <row r="25" spans="1:37" ht="12.75" customHeight="1">
      <c r="A25" s="339" t="s">
        <v>402</v>
      </c>
      <c r="B25" s="10" t="s">
        <v>157</v>
      </c>
      <c r="C25" s="11">
        <v>6</v>
      </c>
      <c r="D25" s="11">
        <v>21</v>
      </c>
      <c r="E25" s="11" t="str">
        <f>IF(D25&gt;=22,"S","E")</f>
        <v>E</v>
      </c>
      <c r="F25" s="32" t="s">
        <v>89</v>
      </c>
      <c r="G25" s="38">
        <v>48.3</v>
      </c>
      <c r="H25" s="11">
        <v>100</v>
      </c>
      <c r="I25" s="33">
        <v>0.949</v>
      </c>
      <c r="J25" s="11">
        <v>39.66</v>
      </c>
      <c r="K25" s="11">
        <v>58.05</v>
      </c>
      <c r="L25" s="11">
        <v>46.46</v>
      </c>
      <c r="M25" s="11">
        <v>2.59</v>
      </c>
      <c r="N25" s="11">
        <v>67.92</v>
      </c>
      <c r="O25" s="11">
        <v>13.22</v>
      </c>
      <c r="P25" s="11">
        <v>1.61</v>
      </c>
      <c r="Q25" s="11">
        <v>60.04</v>
      </c>
      <c r="R25" s="11">
        <v>68.11</v>
      </c>
      <c r="S25" s="11">
        <v>6.5</v>
      </c>
      <c r="T25" s="11">
        <v>103.87</v>
      </c>
      <c r="U25" s="11">
        <v>81.68</v>
      </c>
      <c r="V25" s="11">
        <v>1</v>
      </c>
      <c r="W25" s="11">
        <v>28.93</v>
      </c>
      <c r="X25" s="11">
        <v>51.63</v>
      </c>
      <c r="Y25" s="226">
        <v>3.37</v>
      </c>
      <c r="Z25" s="227">
        <v>1</v>
      </c>
      <c r="AA25" s="101"/>
      <c r="AB25" s="149"/>
      <c r="AC25" s="149"/>
      <c r="AD25" s="149"/>
      <c r="AE25" s="328" t="s">
        <v>223</v>
      </c>
      <c r="AF25" s="408">
        <v>2281</v>
      </c>
      <c r="AG25" s="502" t="s">
        <v>239</v>
      </c>
      <c r="AH25" s="503" t="s">
        <v>265</v>
      </c>
      <c r="AI25" s="320" t="s">
        <v>238</v>
      </c>
      <c r="AJ25" s="320" t="s">
        <v>238</v>
      </c>
      <c r="AK25" s="320" t="s">
        <v>238</v>
      </c>
    </row>
    <row r="26" spans="1:37" ht="12.75" customHeight="1">
      <c r="A26" s="339" t="s">
        <v>402</v>
      </c>
      <c r="B26" s="10" t="s">
        <v>147</v>
      </c>
      <c r="C26" s="11">
        <v>6</v>
      </c>
      <c r="D26" s="11">
        <v>31</v>
      </c>
      <c r="E26" s="11" t="str">
        <f>IF(D26&gt;=22,"S","E")</f>
        <v>S</v>
      </c>
      <c r="F26" s="36" t="s">
        <v>89</v>
      </c>
      <c r="G26" s="197">
        <v>47.84</v>
      </c>
      <c r="H26" s="194">
        <v>100</v>
      </c>
      <c r="I26" s="33">
        <v>1</v>
      </c>
      <c r="J26" s="194">
        <v>37.01</v>
      </c>
      <c r="K26" s="194">
        <v>66.39</v>
      </c>
      <c r="L26" s="194">
        <v>50.02</v>
      </c>
      <c r="M26" s="194">
        <v>2.59</v>
      </c>
      <c r="N26" s="194">
        <v>59.34</v>
      </c>
      <c r="O26" s="194">
        <v>19.38</v>
      </c>
      <c r="P26" s="194">
        <v>2.19</v>
      </c>
      <c r="Q26" s="194">
        <v>88.02</v>
      </c>
      <c r="R26" s="194">
        <v>88.88</v>
      </c>
      <c r="S26" s="194">
        <v>21.56</v>
      </c>
      <c r="T26" s="194">
        <v>94.49</v>
      </c>
      <c r="U26" s="194">
        <v>46.28</v>
      </c>
      <c r="V26" s="194">
        <v>1</v>
      </c>
      <c r="W26" s="194">
        <v>29.67</v>
      </c>
      <c r="X26" s="194">
        <v>31.04</v>
      </c>
      <c r="Y26" s="226">
        <v>3.37</v>
      </c>
      <c r="Z26" s="227">
        <v>1.13</v>
      </c>
      <c r="AA26" s="101"/>
      <c r="AB26" s="149"/>
      <c r="AC26" s="149"/>
      <c r="AD26" s="149"/>
      <c r="AE26" s="326" t="s">
        <v>206</v>
      </c>
      <c r="AF26" s="408">
        <v>2440</v>
      </c>
      <c r="AG26" s="500" t="s">
        <v>293</v>
      </c>
      <c r="AH26" s="401"/>
      <c r="AI26" s="81"/>
      <c r="AJ26" s="81"/>
      <c r="AK26" s="81"/>
    </row>
    <row r="27" spans="1:37" ht="12.75" customHeight="1">
      <c r="A27" s="173" t="s">
        <v>402</v>
      </c>
      <c r="B27" s="10" t="s">
        <v>75</v>
      </c>
      <c r="C27" s="11">
        <v>8</v>
      </c>
      <c r="D27" s="11">
        <v>27</v>
      </c>
      <c r="E27" s="11" t="str">
        <f>IF(D27&gt;=22,"S","E")</f>
        <v>S</v>
      </c>
      <c r="F27" s="11" t="s">
        <v>89</v>
      </c>
      <c r="G27" s="11">
        <v>46.18</v>
      </c>
      <c r="H27" s="11">
        <v>100</v>
      </c>
      <c r="I27" s="33">
        <v>1</v>
      </c>
      <c r="J27" s="11">
        <v>42.41</v>
      </c>
      <c r="K27" s="11">
        <v>44.68</v>
      </c>
      <c r="L27" s="11">
        <v>53.56</v>
      </c>
      <c r="M27" s="11">
        <v>2.7</v>
      </c>
      <c r="N27" s="11">
        <v>51.2</v>
      </c>
      <c r="O27" s="11">
        <v>17.43</v>
      </c>
      <c r="P27" s="11">
        <v>3.58</v>
      </c>
      <c r="Q27" s="11">
        <v>86.71</v>
      </c>
      <c r="R27" s="11">
        <v>58.72</v>
      </c>
      <c r="S27" s="11">
        <v>9.72</v>
      </c>
      <c r="T27" s="11">
        <v>93.48</v>
      </c>
      <c r="U27" s="11">
        <v>65.92</v>
      </c>
      <c r="V27" s="11">
        <v>1</v>
      </c>
      <c r="W27" s="11">
        <v>23.44</v>
      </c>
      <c r="X27" s="11">
        <v>28.9</v>
      </c>
      <c r="Y27" s="226">
        <v>3.37</v>
      </c>
      <c r="Z27" s="227">
        <v>1.13</v>
      </c>
      <c r="AA27" s="7"/>
      <c r="AB27" s="149"/>
      <c r="AC27" s="149"/>
      <c r="AD27" s="149"/>
      <c r="AE27" s="328" t="s">
        <v>223</v>
      </c>
      <c r="AF27" s="408">
        <v>2139</v>
      </c>
      <c r="AG27" s="454" t="s">
        <v>293</v>
      </c>
      <c r="AH27" s="401"/>
      <c r="AI27" s="81"/>
      <c r="AJ27" s="81"/>
      <c r="AK27" s="81"/>
    </row>
    <row r="28" spans="1:37" ht="12.75" customHeight="1">
      <c r="A28" s="173" t="s">
        <v>402</v>
      </c>
      <c r="B28" s="172" t="s">
        <v>297</v>
      </c>
      <c r="C28" s="11">
        <v>6</v>
      </c>
      <c r="D28" s="11">
        <v>18</v>
      </c>
      <c r="E28" s="32" t="str">
        <f>IF(D28&gt;=22,"S","E")</f>
        <v>E</v>
      </c>
      <c r="F28" s="402" t="s">
        <v>89</v>
      </c>
      <c r="G28" s="11">
        <v>3.06</v>
      </c>
      <c r="H28" s="11">
        <v>7.17</v>
      </c>
      <c r="I28" s="33">
        <v>0.936</v>
      </c>
      <c r="J28" s="11">
        <v>1.26</v>
      </c>
      <c r="K28" s="11">
        <v>2.88</v>
      </c>
      <c r="L28" s="11">
        <v>2.67</v>
      </c>
      <c r="M28" s="11">
        <v>1</v>
      </c>
      <c r="N28" s="11">
        <v>4.6</v>
      </c>
      <c r="O28" s="11">
        <v>2.24</v>
      </c>
      <c r="P28" s="11">
        <v>1.18</v>
      </c>
      <c r="Q28" s="11">
        <v>3.87</v>
      </c>
      <c r="R28" s="11">
        <v>4.2</v>
      </c>
      <c r="S28" s="11">
        <v>1</v>
      </c>
      <c r="T28" s="11">
        <v>5.39</v>
      </c>
      <c r="U28" s="11">
        <v>4.79</v>
      </c>
      <c r="V28" s="11">
        <v>1</v>
      </c>
      <c r="W28" s="11">
        <v>2.67</v>
      </c>
      <c r="X28" s="11">
        <v>3.05</v>
      </c>
      <c r="Y28" s="11">
        <v>1.64</v>
      </c>
      <c r="Z28" s="407">
        <v>1</v>
      </c>
      <c r="AA28" s="101"/>
      <c r="AB28" s="149"/>
      <c r="AC28" s="149"/>
      <c r="AD28" s="149"/>
      <c r="AE28" s="328" t="s">
        <v>223</v>
      </c>
      <c r="AF28" s="408">
        <v>0</v>
      </c>
      <c r="AG28" s="501" t="s">
        <v>240</v>
      </c>
      <c r="AH28" s="502" t="s">
        <v>239</v>
      </c>
      <c r="AI28" s="502" t="s">
        <v>239</v>
      </c>
      <c r="AJ28" s="502" t="s">
        <v>239</v>
      </c>
      <c r="AK28" s="503" t="s">
        <v>265</v>
      </c>
    </row>
    <row r="29" spans="1:37" ht="12.75" customHeight="1">
      <c r="A29" s="168" t="s">
        <v>402</v>
      </c>
      <c r="B29" s="10" t="s">
        <v>375</v>
      </c>
      <c r="C29" s="11">
        <v>8</v>
      </c>
      <c r="D29" s="11">
        <v>19</v>
      </c>
      <c r="E29" s="32" t="str">
        <f>IF(D29&gt;=22,"S","E")</f>
        <v>E</v>
      </c>
      <c r="F29" s="402" t="s">
        <v>89</v>
      </c>
      <c r="G29" s="11">
        <v>2.31</v>
      </c>
      <c r="H29" s="11">
        <v>1.5</v>
      </c>
      <c r="I29" s="33">
        <v>1</v>
      </c>
      <c r="J29" s="11">
        <v>1.26</v>
      </c>
      <c r="K29" s="11">
        <v>1</v>
      </c>
      <c r="L29" s="11">
        <v>2.4</v>
      </c>
      <c r="M29" s="11">
        <v>1</v>
      </c>
      <c r="N29" s="11">
        <v>2.4</v>
      </c>
      <c r="O29" s="11">
        <v>1</v>
      </c>
      <c r="P29" s="11">
        <v>1</v>
      </c>
      <c r="Q29" s="11">
        <v>3.54</v>
      </c>
      <c r="R29" s="11">
        <v>2.2</v>
      </c>
      <c r="S29" s="11">
        <v>1</v>
      </c>
      <c r="T29" s="11">
        <v>2.98</v>
      </c>
      <c r="U29" s="11">
        <v>4.45</v>
      </c>
      <c r="V29" s="11">
        <v>1</v>
      </c>
      <c r="W29" s="11">
        <v>2.4</v>
      </c>
      <c r="X29" s="11">
        <v>3.26</v>
      </c>
      <c r="Y29" s="11">
        <v>1</v>
      </c>
      <c r="Z29" s="407">
        <v>1</v>
      </c>
      <c r="AA29" s="101"/>
      <c r="AB29" s="149"/>
      <c r="AC29" s="149"/>
      <c r="AD29" s="149"/>
      <c r="AE29" s="328" t="s">
        <v>223</v>
      </c>
      <c r="AF29" s="408">
        <v>0</v>
      </c>
      <c r="AG29" s="455" t="s">
        <v>240</v>
      </c>
      <c r="AH29" s="501" t="s">
        <v>240</v>
      </c>
      <c r="AI29" s="456" t="s">
        <v>239</v>
      </c>
      <c r="AJ29" s="503" t="s">
        <v>265</v>
      </c>
      <c r="AK29" s="401"/>
    </row>
    <row r="30" spans="1:37" ht="12.75" customHeight="1">
      <c r="A30" s="168" t="s">
        <v>402</v>
      </c>
      <c r="B30" s="10" t="s">
        <v>154</v>
      </c>
      <c r="C30" s="11">
        <v>10</v>
      </c>
      <c r="D30" s="11">
        <v>24</v>
      </c>
      <c r="E30" s="32" t="str">
        <f>IF(D30&gt;=22,"S","E")</f>
        <v>S</v>
      </c>
      <c r="F30" s="11" t="s">
        <v>86</v>
      </c>
      <c r="G30" s="11">
        <v>66.19</v>
      </c>
      <c r="H30" s="11">
        <v>100</v>
      </c>
      <c r="I30" s="33">
        <v>0.936</v>
      </c>
      <c r="J30" s="11">
        <v>103.52</v>
      </c>
      <c r="K30" s="11">
        <v>34.57</v>
      </c>
      <c r="L30" s="11">
        <v>72.73</v>
      </c>
      <c r="M30" s="11">
        <v>1.21</v>
      </c>
      <c r="N30" s="11">
        <v>86.28</v>
      </c>
      <c r="O30" s="11">
        <v>17.16</v>
      </c>
      <c r="P30" s="11">
        <v>2.35</v>
      </c>
      <c r="Q30" s="11">
        <v>90.68</v>
      </c>
      <c r="R30" s="11">
        <v>94.39</v>
      </c>
      <c r="S30" s="11">
        <v>102.39</v>
      </c>
      <c r="T30" s="11">
        <v>103.78</v>
      </c>
      <c r="U30" s="11">
        <v>88.07</v>
      </c>
      <c r="V30" s="11">
        <v>1</v>
      </c>
      <c r="W30" s="11">
        <v>22.88</v>
      </c>
      <c r="X30" s="11">
        <v>69.75</v>
      </c>
      <c r="Y30" s="226">
        <v>71.34</v>
      </c>
      <c r="Z30" s="227">
        <v>1</v>
      </c>
      <c r="AA30" s="101"/>
      <c r="AB30" s="149"/>
      <c r="AC30" s="149"/>
      <c r="AD30" s="149"/>
      <c r="AE30" s="332" t="s">
        <v>205</v>
      </c>
      <c r="AF30" s="408">
        <v>5697</v>
      </c>
      <c r="AG30" s="320" t="s">
        <v>238</v>
      </c>
      <c r="AH30" s="320" t="s">
        <v>238</v>
      </c>
      <c r="AI30" s="320" t="s">
        <v>238</v>
      </c>
      <c r="AJ30" s="320" t="s">
        <v>238</v>
      </c>
      <c r="AK30" s="320" t="s">
        <v>238</v>
      </c>
    </row>
    <row r="31" spans="1:37" ht="12.75" customHeight="1">
      <c r="A31" s="168" t="s">
        <v>402</v>
      </c>
      <c r="B31" s="10" t="s">
        <v>153</v>
      </c>
      <c r="C31" s="11">
        <v>11</v>
      </c>
      <c r="D31" s="11">
        <v>23</v>
      </c>
      <c r="E31" s="11" t="str">
        <f>IF(D31&gt;=22,"S","E")</f>
        <v>S</v>
      </c>
      <c r="F31" s="11" t="s">
        <v>86</v>
      </c>
      <c r="G31" s="11">
        <v>65.58</v>
      </c>
      <c r="H31" s="11">
        <v>100</v>
      </c>
      <c r="I31" s="33">
        <v>0.936</v>
      </c>
      <c r="J31" s="11">
        <v>114.42</v>
      </c>
      <c r="K31" s="11">
        <v>5.36</v>
      </c>
      <c r="L31" s="11">
        <v>56.77</v>
      </c>
      <c r="M31" s="11">
        <v>3.51</v>
      </c>
      <c r="N31" s="11">
        <v>86.98</v>
      </c>
      <c r="O31" s="11">
        <v>22.84</v>
      </c>
      <c r="P31" s="11">
        <v>12.37</v>
      </c>
      <c r="Q31" s="11">
        <v>92.71</v>
      </c>
      <c r="R31" s="11">
        <v>96.4</v>
      </c>
      <c r="S31" s="11">
        <v>112.18</v>
      </c>
      <c r="T31" s="11">
        <v>103.14</v>
      </c>
      <c r="U31" s="11">
        <v>87.78</v>
      </c>
      <c r="V31" s="11">
        <v>4.3</v>
      </c>
      <c r="W31" s="11">
        <v>26.34</v>
      </c>
      <c r="X31" s="11">
        <v>58.29</v>
      </c>
      <c r="Y31" s="226">
        <v>98.58</v>
      </c>
      <c r="Z31" s="227">
        <v>1</v>
      </c>
      <c r="AA31" s="7"/>
      <c r="AB31" s="149"/>
      <c r="AC31" s="149"/>
      <c r="AD31" s="149"/>
      <c r="AE31" s="324" t="s">
        <v>228</v>
      </c>
      <c r="AF31" s="408">
        <v>5697</v>
      </c>
      <c r="AG31" s="320" t="s">
        <v>238</v>
      </c>
      <c r="AH31" s="320" t="s">
        <v>238</v>
      </c>
      <c r="AI31" s="393" t="s">
        <v>265</v>
      </c>
      <c r="AJ31" s="457" t="s">
        <v>265</v>
      </c>
      <c r="AK31" s="457" t="s">
        <v>265</v>
      </c>
    </row>
    <row r="32" spans="1:37" ht="12.75" customHeight="1">
      <c r="A32" s="168" t="s">
        <v>402</v>
      </c>
      <c r="B32" s="10" t="s">
        <v>150</v>
      </c>
      <c r="C32" s="11">
        <v>11</v>
      </c>
      <c r="D32" s="11">
        <v>22</v>
      </c>
      <c r="E32" s="11" t="str">
        <f>IF(D32&gt;=22,"S","E")</f>
        <v>S</v>
      </c>
      <c r="F32" s="11" t="s">
        <v>86</v>
      </c>
      <c r="G32" s="11">
        <v>55.4</v>
      </c>
      <c r="H32" s="11">
        <v>61.71</v>
      </c>
      <c r="I32" s="33">
        <v>0.871</v>
      </c>
      <c r="J32" s="11">
        <v>106.87</v>
      </c>
      <c r="K32" s="11">
        <v>3.83</v>
      </c>
      <c r="L32" s="11">
        <v>47</v>
      </c>
      <c r="M32" s="11">
        <v>1.21</v>
      </c>
      <c r="N32" s="11">
        <v>75.53</v>
      </c>
      <c r="O32" s="11">
        <v>20.2</v>
      </c>
      <c r="P32" s="11">
        <v>1.38</v>
      </c>
      <c r="Q32" s="11">
        <v>54.78</v>
      </c>
      <c r="R32" s="11">
        <v>76.37</v>
      </c>
      <c r="S32" s="11">
        <v>113.88</v>
      </c>
      <c r="T32" s="11">
        <v>94.97</v>
      </c>
      <c r="U32" s="11">
        <v>57.78</v>
      </c>
      <c r="V32" s="11">
        <v>1</v>
      </c>
      <c r="W32" s="11">
        <v>18.72</v>
      </c>
      <c r="X32" s="11">
        <v>50.74</v>
      </c>
      <c r="Y32" s="226">
        <v>79.28</v>
      </c>
      <c r="Z32" s="227">
        <v>1</v>
      </c>
      <c r="AA32" s="101"/>
      <c r="AB32" s="149"/>
      <c r="AC32" s="149"/>
      <c r="AD32" s="149"/>
      <c r="AE32" s="335" t="s">
        <v>221</v>
      </c>
      <c r="AF32" s="408">
        <v>3647</v>
      </c>
      <c r="AG32" s="320" t="s">
        <v>238</v>
      </c>
      <c r="AH32" s="503" t="s">
        <v>265</v>
      </c>
      <c r="AI32" s="503" t="s">
        <v>265</v>
      </c>
      <c r="AJ32" s="503" t="s">
        <v>265</v>
      </c>
      <c r="AK32" s="503" t="s">
        <v>265</v>
      </c>
    </row>
    <row r="33" spans="1:37" ht="12.75" customHeight="1">
      <c r="A33" s="168" t="s">
        <v>402</v>
      </c>
      <c r="B33" s="10" t="s">
        <v>141</v>
      </c>
      <c r="C33" s="11">
        <v>10</v>
      </c>
      <c r="D33" s="11">
        <v>21</v>
      </c>
      <c r="E33" s="11" t="str">
        <f>IF(D33&gt;=22,"S","E")</f>
        <v>E</v>
      </c>
      <c r="F33" s="11" t="s">
        <v>86</v>
      </c>
      <c r="G33" s="11">
        <v>54.36</v>
      </c>
      <c r="H33" s="11">
        <v>100</v>
      </c>
      <c r="I33" s="33">
        <v>0.897</v>
      </c>
      <c r="J33" s="11">
        <v>99.41</v>
      </c>
      <c r="K33" s="11">
        <v>14.16</v>
      </c>
      <c r="L33" s="11">
        <v>48.11</v>
      </c>
      <c r="M33" s="11">
        <v>1.21</v>
      </c>
      <c r="N33" s="11">
        <v>71.6</v>
      </c>
      <c r="O33" s="11">
        <v>14.11</v>
      </c>
      <c r="P33" s="11">
        <v>1.38</v>
      </c>
      <c r="Q33" s="11">
        <v>61.15</v>
      </c>
      <c r="R33" s="11">
        <v>74.67</v>
      </c>
      <c r="S33" s="11">
        <v>108.07</v>
      </c>
      <c r="T33" s="11">
        <v>90.08</v>
      </c>
      <c r="U33" s="11">
        <v>59.21</v>
      </c>
      <c r="V33" s="11">
        <v>1</v>
      </c>
      <c r="W33" s="11">
        <v>21.31</v>
      </c>
      <c r="X33" s="11">
        <v>51.35</v>
      </c>
      <c r="Y33" s="226">
        <v>69.59</v>
      </c>
      <c r="Z33" s="227">
        <v>1</v>
      </c>
      <c r="AA33" s="7"/>
      <c r="AB33" s="149"/>
      <c r="AC33" s="149"/>
      <c r="AD33" s="149"/>
      <c r="AE33" s="328" t="s">
        <v>223</v>
      </c>
      <c r="AF33" s="408">
        <v>2973</v>
      </c>
      <c r="AG33" s="502" t="s">
        <v>239</v>
      </c>
      <c r="AH33" s="457" t="s">
        <v>265</v>
      </c>
      <c r="AI33" s="320" t="s">
        <v>238</v>
      </c>
      <c r="AJ33" s="320" t="s">
        <v>238</v>
      </c>
      <c r="AK33" s="320" t="s">
        <v>238</v>
      </c>
    </row>
    <row r="34" spans="1:37" ht="12.75" customHeight="1">
      <c r="A34" s="168" t="s">
        <v>402</v>
      </c>
      <c r="B34" s="10" t="s">
        <v>155</v>
      </c>
      <c r="C34" s="11">
        <v>10</v>
      </c>
      <c r="D34" s="11">
        <v>22</v>
      </c>
      <c r="E34" s="11" t="str">
        <f>IF(D34&gt;=22,"S","E")</f>
        <v>S</v>
      </c>
      <c r="F34" s="11" t="s">
        <v>86</v>
      </c>
      <c r="G34" s="11">
        <v>52.8</v>
      </c>
      <c r="H34" s="11">
        <v>53</v>
      </c>
      <c r="I34" s="33">
        <v>1</v>
      </c>
      <c r="J34" s="11">
        <v>101.66</v>
      </c>
      <c r="K34" s="11">
        <v>13.16</v>
      </c>
      <c r="L34" s="11">
        <v>46.32</v>
      </c>
      <c r="M34" s="11">
        <v>1.21</v>
      </c>
      <c r="N34" s="11">
        <v>66.57</v>
      </c>
      <c r="O34" s="11">
        <v>14.11</v>
      </c>
      <c r="P34" s="11">
        <v>1.38</v>
      </c>
      <c r="Q34" s="11">
        <v>64.95</v>
      </c>
      <c r="R34" s="11">
        <v>71.03</v>
      </c>
      <c r="S34" s="11">
        <v>100.22</v>
      </c>
      <c r="T34" s="11">
        <v>81.58</v>
      </c>
      <c r="U34" s="11">
        <v>64.69</v>
      </c>
      <c r="V34" s="11">
        <v>1</v>
      </c>
      <c r="W34" s="11">
        <v>20.88</v>
      </c>
      <c r="X34" s="11">
        <v>50.53</v>
      </c>
      <c r="Y34" s="226">
        <v>64.44</v>
      </c>
      <c r="Z34" s="227">
        <v>1</v>
      </c>
      <c r="AA34" s="101"/>
      <c r="AB34" s="149"/>
      <c r="AC34" s="149"/>
      <c r="AD34" s="149"/>
      <c r="AE34" s="328" t="s">
        <v>223</v>
      </c>
      <c r="AF34" s="408">
        <v>3182</v>
      </c>
      <c r="AG34" s="503" t="s">
        <v>265</v>
      </c>
      <c r="AH34" s="320" t="s">
        <v>238</v>
      </c>
      <c r="AI34" s="503" t="s">
        <v>265</v>
      </c>
      <c r="AJ34" s="503" t="s">
        <v>265</v>
      </c>
      <c r="AK34" s="503" t="s">
        <v>265</v>
      </c>
    </row>
    <row r="35" spans="1:37" ht="12.75" customHeight="1">
      <c r="A35" s="168" t="s">
        <v>402</v>
      </c>
      <c r="B35" s="10" t="s">
        <v>151</v>
      </c>
      <c r="C35" s="29">
        <v>11</v>
      </c>
      <c r="D35" s="29">
        <v>23</v>
      </c>
      <c r="E35" s="29" t="str">
        <f>IF(D35&gt;=22,"S","E")</f>
        <v>S</v>
      </c>
      <c r="F35" s="11" t="s">
        <v>86</v>
      </c>
      <c r="G35" s="32">
        <v>48.73</v>
      </c>
      <c r="H35" s="32">
        <v>100</v>
      </c>
      <c r="I35" s="33">
        <v>1</v>
      </c>
      <c r="J35" s="32">
        <v>98.25</v>
      </c>
      <c r="K35" s="32">
        <v>1</v>
      </c>
      <c r="L35" s="32">
        <v>34.27</v>
      </c>
      <c r="M35" s="32">
        <v>1.21</v>
      </c>
      <c r="N35" s="32">
        <v>54.96</v>
      </c>
      <c r="O35" s="32">
        <v>14.11</v>
      </c>
      <c r="P35" s="32">
        <v>1.75</v>
      </c>
      <c r="Q35" s="32">
        <v>67.58</v>
      </c>
      <c r="R35" s="32">
        <v>55.77</v>
      </c>
      <c r="S35" s="32">
        <v>97.36</v>
      </c>
      <c r="T35" s="32">
        <v>79.52</v>
      </c>
      <c r="U35" s="32">
        <v>67.54</v>
      </c>
      <c r="V35" s="32">
        <v>1</v>
      </c>
      <c r="W35" s="32">
        <v>8.63</v>
      </c>
      <c r="X35" s="32">
        <v>44.73</v>
      </c>
      <c r="Y35" s="224">
        <v>58.31</v>
      </c>
      <c r="Z35" s="224">
        <v>1</v>
      </c>
      <c r="AA35" s="101"/>
      <c r="AB35" s="149"/>
      <c r="AC35" s="149"/>
      <c r="AD35" s="149"/>
      <c r="AE35" s="328" t="s">
        <v>223</v>
      </c>
      <c r="AF35" s="408">
        <v>2510</v>
      </c>
      <c r="AG35" s="457" t="s">
        <v>265</v>
      </c>
      <c r="AH35" s="500" t="s">
        <v>293</v>
      </c>
      <c r="AI35" s="81"/>
      <c r="AJ35" s="81"/>
      <c r="AK35" s="81"/>
    </row>
    <row r="36" spans="1:37" ht="12.75" customHeight="1">
      <c r="A36" s="400" t="s">
        <v>402</v>
      </c>
      <c r="B36" s="10" t="s">
        <v>140</v>
      </c>
      <c r="C36" s="29">
        <v>10</v>
      </c>
      <c r="D36" s="29">
        <v>21</v>
      </c>
      <c r="E36" s="29" t="str">
        <f>IF(D36&gt;=22,"S","E")</f>
        <v>E</v>
      </c>
      <c r="F36" s="32" t="s">
        <v>86</v>
      </c>
      <c r="G36" s="29">
        <v>46.14</v>
      </c>
      <c r="H36" s="29">
        <v>90.53</v>
      </c>
      <c r="I36" s="33">
        <v>1</v>
      </c>
      <c r="J36" s="29">
        <v>81.03</v>
      </c>
      <c r="K36" s="29">
        <v>7.92</v>
      </c>
      <c r="L36" s="29">
        <v>42.78</v>
      </c>
      <c r="M36" s="29">
        <v>1.21</v>
      </c>
      <c r="N36" s="29">
        <v>51.44</v>
      </c>
      <c r="O36" s="29">
        <v>12.21</v>
      </c>
      <c r="P36" s="29">
        <v>1.38</v>
      </c>
      <c r="Q36" s="29">
        <v>63.37</v>
      </c>
      <c r="R36" s="29">
        <v>47.77</v>
      </c>
      <c r="S36" s="29">
        <v>95.67</v>
      </c>
      <c r="T36" s="29">
        <v>65.48</v>
      </c>
      <c r="U36" s="29">
        <v>59.13</v>
      </c>
      <c r="V36" s="29">
        <v>1</v>
      </c>
      <c r="W36" s="29">
        <v>19.82</v>
      </c>
      <c r="X36" s="29">
        <v>55.74</v>
      </c>
      <c r="Y36" s="228">
        <v>41.26</v>
      </c>
      <c r="Z36" s="229">
        <v>1</v>
      </c>
      <c r="AA36" s="101"/>
      <c r="AB36" s="149"/>
      <c r="AC36" s="149"/>
      <c r="AD36" s="149"/>
      <c r="AE36" s="328" t="s">
        <v>223</v>
      </c>
      <c r="AF36" s="408">
        <v>1774</v>
      </c>
      <c r="AG36" s="502" t="s">
        <v>239</v>
      </c>
      <c r="AH36" s="503" t="s">
        <v>265</v>
      </c>
      <c r="AI36" s="320" t="s">
        <v>238</v>
      </c>
      <c r="AJ36" s="320" t="s">
        <v>238</v>
      </c>
      <c r="AK36" s="320" t="s">
        <v>238</v>
      </c>
    </row>
    <row r="37" spans="1:37" ht="12.75" customHeight="1">
      <c r="A37" s="400" t="s">
        <v>402</v>
      </c>
      <c r="B37" s="10" t="s">
        <v>149</v>
      </c>
      <c r="C37" s="32">
        <v>11</v>
      </c>
      <c r="D37" s="32">
        <v>31</v>
      </c>
      <c r="E37" s="32" t="str">
        <f>IF(D37&gt;=22,"S","E")</f>
        <v>S</v>
      </c>
      <c r="F37" s="36" t="s">
        <v>86</v>
      </c>
      <c r="G37" s="36">
        <v>43.59</v>
      </c>
      <c r="H37" s="36">
        <v>100</v>
      </c>
      <c r="I37" s="33">
        <v>1</v>
      </c>
      <c r="J37" s="36">
        <v>100.23</v>
      </c>
      <c r="K37" s="36">
        <v>11.83</v>
      </c>
      <c r="L37" s="36">
        <v>5.17</v>
      </c>
      <c r="M37" s="36">
        <v>1.21</v>
      </c>
      <c r="N37" s="36">
        <v>53.89</v>
      </c>
      <c r="O37" s="36">
        <v>17.38</v>
      </c>
      <c r="P37" s="36">
        <v>1.75</v>
      </c>
      <c r="Q37" s="36">
        <v>11.09</v>
      </c>
      <c r="R37" s="36">
        <v>75.48</v>
      </c>
      <c r="S37" s="36">
        <v>92.15</v>
      </c>
      <c r="T37" s="36">
        <v>92.58</v>
      </c>
      <c r="U37" s="36">
        <v>89.51</v>
      </c>
      <c r="V37" s="36">
        <v>1</v>
      </c>
      <c r="W37" s="36">
        <v>1</v>
      </c>
      <c r="X37" s="36">
        <v>4.54</v>
      </c>
      <c r="Y37" s="224">
        <v>77.77</v>
      </c>
      <c r="Z37" s="224">
        <v>1</v>
      </c>
      <c r="AA37" s="101"/>
      <c r="AB37" s="149"/>
      <c r="AC37" s="149"/>
      <c r="AD37" s="149"/>
      <c r="AE37" s="325" t="s">
        <v>220</v>
      </c>
      <c r="AF37" s="408">
        <v>1982</v>
      </c>
      <c r="AG37" s="500" t="s">
        <v>293</v>
      </c>
      <c r="AH37" s="401"/>
      <c r="AI37" s="81"/>
      <c r="AJ37" s="81"/>
      <c r="AK37" s="81"/>
    </row>
    <row r="38" spans="1:37" ht="12.75" customHeight="1">
      <c r="A38" s="168" t="s">
        <v>402</v>
      </c>
      <c r="B38" s="172" t="s">
        <v>298</v>
      </c>
      <c r="C38" s="105">
        <v>11</v>
      </c>
      <c r="D38" s="105">
        <v>18</v>
      </c>
      <c r="E38" s="32" t="str">
        <f>IF(D38&gt;=22,"S","E")</f>
        <v>E</v>
      </c>
      <c r="F38" s="566" t="s">
        <v>86</v>
      </c>
      <c r="G38" s="105">
        <v>5.49</v>
      </c>
      <c r="H38" s="105">
        <v>12.07</v>
      </c>
      <c r="I38" s="33">
        <v>0.585</v>
      </c>
      <c r="J38" s="105">
        <v>10.14</v>
      </c>
      <c r="K38" s="105">
        <v>1</v>
      </c>
      <c r="L38" s="105">
        <v>2.57</v>
      </c>
      <c r="M38" s="105">
        <v>1</v>
      </c>
      <c r="N38" s="105">
        <v>10.37</v>
      </c>
      <c r="O38" s="105">
        <v>2.24</v>
      </c>
      <c r="P38" s="105">
        <v>1.18</v>
      </c>
      <c r="Q38" s="105">
        <v>3.77</v>
      </c>
      <c r="R38" s="105">
        <v>11.19</v>
      </c>
      <c r="S38" s="105">
        <v>8.78</v>
      </c>
      <c r="T38" s="105">
        <v>12.5</v>
      </c>
      <c r="U38" s="105">
        <v>2.57</v>
      </c>
      <c r="V38" s="105">
        <v>1</v>
      </c>
      <c r="W38" s="105">
        <v>2.57</v>
      </c>
      <c r="X38" s="105">
        <v>2.95</v>
      </c>
      <c r="Y38" s="105">
        <v>9.48</v>
      </c>
      <c r="Z38" s="105">
        <v>1</v>
      </c>
      <c r="AA38" s="271"/>
      <c r="AB38" s="149"/>
      <c r="AC38" s="149"/>
      <c r="AD38" s="149"/>
      <c r="AE38" s="328" t="s">
        <v>223</v>
      </c>
      <c r="AF38" s="408">
        <v>0</v>
      </c>
      <c r="AG38" s="502" t="s">
        <v>239</v>
      </c>
      <c r="AH38" s="502" t="s">
        <v>239</v>
      </c>
      <c r="AI38" s="502" t="s">
        <v>239</v>
      </c>
      <c r="AJ38" s="502" t="s">
        <v>239</v>
      </c>
      <c r="AK38" s="503" t="s">
        <v>265</v>
      </c>
    </row>
    <row r="39" spans="1:37" s="4" customFormat="1" ht="12.75" customHeight="1">
      <c r="A39" s="400" t="s">
        <v>402</v>
      </c>
      <c r="B39" s="10" t="s">
        <v>376</v>
      </c>
      <c r="C39" s="32">
        <v>11</v>
      </c>
      <c r="D39" s="32">
        <v>19</v>
      </c>
      <c r="E39" s="32" t="str">
        <f>IF(D39&gt;=22,"S","E")</f>
        <v>E</v>
      </c>
      <c r="F39" s="340" t="s">
        <v>86</v>
      </c>
      <c r="G39" s="32">
        <v>2.13</v>
      </c>
      <c r="H39" s="32">
        <v>1.5</v>
      </c>
      <c r="I39" s="33">
        <v>1</v>
      </c>
      <c r="J39" s="32">
        <v>1.26</v>
      </c>
      <c r="K39" s="32">
        <v>1</v>
      </c>
      <c r="L39" s="32">
        <v>2.4</v>
      </c>
      <c r="M39" s="32">
        <v>1</v>
      </c>
      <c r="N39" s="32">
        <v>2.4</v>
      </c>
      <c r="O39" s="32">
        <v>1</v>
      </c>
      <c r="P39" s="32">
        <v>1</v>
      </c>
      <c r="Q39" s="32">
        <v>3.54</v>
      </c>
      <c r="R39" s="32">
        <v>2.2</v>
      </c>
      <c r="S39" s="32">
        <v>1</v>
      </c>
      <c r="T39" s="32">
        <v>2.98</v>
      </c>
      <c r="U39" s="32">
        <v>4.45</v>
      </c>
      <c r="V39" s="32">
        <v>1</v>
      </c>
      <c r="W39" s="32">
        <v>2.4</v>
      </c>
      <c r="X39" s="32">
        <v>3.26</v>
      </c>
      <c r="Y39" s="32">
        <v>1</v>
      </c>
      <c r="Z39" s="32">
        <v>1</v>
      </c>
      <c r="AA39" s="7"/>
      <c r="AB39" s="149"/>
      <c r="AC39" s="149"/>
      <c r="AD39" s="149"/>
      <c r="AE39" s="328" t="s">
        <v>223</v>
      </c>
      <c r="AF39" s="408">
        <v>0</v>
      </c>
      <c r="AG39" s="501" t="s">
        <v>240</v>
      </c>
      <c r="AH39" s="502" t="s">
        <v>239</v>
      </c>
      <c r="AI39" s="502" t="s">
        <v>239</v>
      </c>
      <c r="AJ39" s="81"/>
      <c r="AK39" s="81"/>
    </row>
    <row r="40" spans="1:37" s="4" customFormat="1" ht="12.75" customHeight="1">
      <c r="A40" s="567"/>
      <c r="B40" s="10"/>
      <c r="C40" s="11"/>
      <c r="D40" s="11"/>
      <c r="E40" s="32"/>
      <c r="F40" s="32"/>
      <c r="G40" s="32"/>
      <c r="H40" s="32"/>
      <c r="I40" s="33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24"/>
      <c r="Z40" s="224"/>
      <c r="AA40" s="101"/>
      <c r="AB40" s="149"/>
      <c r="AC40" s="149"/>
      <c r="AD40" s="149"/>
      <c r="AE40" s="149"/>
      <c r="AF40" s="408">
        <v>0</v>
      </c>
      <c r="AG40" s="81"/>
      <c r="AH40" s="81"/>
      <c r="AI40" s="81"/>
      <c r="AJ40" s="81"/>
      <c r="AK40" s="81"/>
    </row>
    <row r="41" spans="1:37" s="4" customFormat="1" ht="12.75" customHeight="1">
      <c r="A41" s="567"/>
      <c r="B41" s="10"/>
      <c r="C41" s="32"/>
      <c r="D41" s="32"/>
      <c r="E41" s="32"/>
      <c r="F41" s="32"/>
      <c r="G41" s="32"/>
      <c r="H41" s="32"/>
      <c r="I41" s="33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24"/>
      <c r="Z41" s="224"/>
      <c r="AA41" s="7"/>
      <c r="AB41" s="149"/>
      <c r="AC41" s="149"/>
      <c r="AD41" s="149"/>
      <c r="AE41" s="149"/>
      <c r="AF41" s="408">
        <v>0</v>
      </c>
      <c r="AG41" s="401"/>
      <c r="AH41" s="401"/>
      <c r="AI41" s="81"/>
      <c r="AJ41" s="81"/>
      <c r="AK41" s="81"/>
    </row>
    <row r="42" spans="1:32" s="4" customFormat="1" ht="12.75">
      <c r="A42" s="9"/>
      <c r="B42" s="9"/>
      <c r="C42" s="7"/>
      <c r="D42" s="7"/>
      <c r="E42" s="7"/>
      <c r="F42" s="7"/>
      <c r="G42" s="7"/>
      <c r="H42" s="7"/>
      <c r="I42" s="3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225"/>
      <c r="Z42" s="225"/>
      <c r="AA42" s="101"/>
      <c r="AB42" s="270"/>
      <c r="AC42" s="270"/>
      <c r="AD42" s="270"/>
      <c r="AE42" s="409">
        <f>COUNTIF(AE2:AE41,"URU")/A1</f>
        <v>0.47368421052631576</v>
      </c>
      <c r="AF42" s="276">
        <f>SUM(AF2:AF41)</f>
        <v>103203</v>
      </c>
    </row>
    <row r="43" spans="2:37" s="6" customFormat="1" ht="12.75">
      <c r="B43" s="64"/>
      <c r="C43" s="65" t="s">
        <v>3</v>
      </c>
      <c r="D43" s="65" t="s">
        <v>0</v>
      </c>
      <c r="E43" s="65" t="s">
        <v>78</v>
      </c>
      <c r="F43" s="65" t="s">
        <v>79</v>
      </c>
      <c r="G43" s="66" t="s">
        <v>22</v>
      </c>
      <c r="H43" s="65" t="s">
        <v>23</v>
      </c>
      <c r="I43" s="65" t="s">
        <v>90</v>
      </c>
      <c r="J43" s="65" t="s">
        <v>67</v>
      </c>
      <c r="K43" s="65" t="s">
        <v>68</v>
      </c>
      <c r="L43" s="65" t="s">
        <v>55</v>
      </c>
      <c r="M43" s="65" t="s">
        <v>69</v>
      </c>
      <c r="N43" s="65" t="s">
        <v>26</v>
      </c>
      <c r="O43" s="65" t="s">
        <v>91</v>
      </c>
      <c r="P43" s="65" t="s">
        <v>57</v>
      </c>
      <c r="Q43" s="65" t="s">
        <v>30</v>
      </c>
      <c r="R43" s="65" t="s">
        <v>60</v>
      </c>
      <c r="S43" s="65" t="s">
        <v>70</v>
      </c>
      <c r="T43" s="65" t="s">
        <v>34</v>
      </c>
      <c r="U43" s="65" t="s">
        <v>35</v>
      </c>
      <c r="V43" s="65" t="s">
        <v>71</v>
      </c>
      <c r="W43" s="65" t="s">
        <v>72</v>
      </c>
      <c r="X43" s="65" t="s">
        <v>61</v>
      </c>
      <c r="Y43" s="65" t="s">
        <v>73</v>
      </c>
      <c r="Z43" s="65" t="s">
        <v>38</v>
      </c>
      <c r="AA43" s="142"/>
      <c r="AB43" s="143"/>
      <c r="AF43" s="320" t="s">
        <v>238</v>
      </c>
      <c r="AG43" s="97">
        <f>COUNTIF(AG$2:AG$41,$AF43)</f>
        <v>11</v>
      </c>
      <c r="AH43" s="97">
        <f aca="true" t="shared" si="0" ref="AH43:AK47">COUNTIF(AH$2:AH$41,$AF43)</f>
        <v>11</v>
      </c>
      <c r="AI43" s="97">
        <f t="shared" si="0"/>
        <v>11</v>
      </c>
      <c r="AJ43" s="97">
        <f t="shared" si="0"/>
        <v>11</v>
      </c>
      <c r="AK43" s="97">
        <f t="shared" si="0"/>
        <v>11</v>
      </c>
    </row>
    <row r="44" spans="2:37" ht="12.75">
      <c r="B44" s="509" t="s">
        <v>80</v>
      </c>
      <c r="C44" s="40"/>
      <c r="D44" s="48">
        <f>SUMIF($F$2:$F$38,"1G",D$2:D$38)/COUNTIF($F$2:$F$38,"1G")</f>
        <v>22</v>
      </c>
      <c r="E44" s="41"/>
      <c r="F44" s="41"/>
      <c r="G44" s="67">
        <f>SUMIF($F$2:$F$38,"1G",G$2:G$38)/COUNTIF($F$2:$F$38,"1G")</f>
        <v>49.935</v>
      </c>
      <c r="H44" s="67">
        <f>SUMIF($F$2:$F$38,"1G",H$2:H$38)/COUNTIF($F$2:$F$38,"1G")</f>
        <v>78.185</v>
      </c>
      <c r="I44" s="33">
        <f>SUMIF($F$2:$F$38,"1G",I$2:I$38)/COUNTIF($F$2:$F$38,"1G")</f>
        <v>0.99075</v>
      </c>
      <c r="J44" s="58">
        <f>SUMIF($F$2:$F$38,"1G",J$2:J$38)/COUNTIF($F$2:$F$38,"1G")</f>
        <v>67.5275</v>
      </c>
      <c r="K44" s="58">
        <f aca="true" t="shared" si="1" ref="K44:Z44">SUMIF($F$2:$F$38,"1G",K$2:K$38)/COUNTIF($F$2:$F$38,"1G")</f>
        <v>1</v>
      </c>
      <c r="L44" s="58">
        <f t="shared" si="1"/>
        <v>16.675</v>
      </c>
      <c r="M44" s="58">
        <f t="shared" si="1"/>
        <v>14.1775</v>
      </c>
      <c r="N44" s="58">
        <f t="shared" si="1"/>
        <v>30.335</v>
      </c>
      <c r="O44" s="58">
        <f t="shared" si="1"/>
        <v>13.295</v>
      </c>
      <c r="P44" s="58">
        <f t="shared" si="1"/>
        <v>37.582499999999996</v>
      </c>
      <c r="Q44" s="58">
        <f t="shared" si="1"/>
        <v>57.5225</v>
      </c>
      <c r="R44" s="58">
        <f t="shared" si="1"/>
        <v>4.315</v>
      </c>
      <c r="S44" s="58">
        <f t="shared" si="1"/>
        <v>1.0150000000000001</v>
      </c>
      <c r="T44" s="58">
        <f t="shared" si="1"/>
        <v>31.01</v>
      </c>
      <c r="U44" s="58">
        <f t="shared" si="1"/>
        <v>97.065</v>
      </c>
      <c r="V44" s="58">
        <f t="shared" si="1"/>
        <v>83.505</v>
      </c>
      <c r="W44" s="58">
        <f t="shared" si="1"/>
        <v>16.6225</v>
      </c>
      <c r="X44" s="58">
        <f t="shared" si="1"/>
        <v>70.25</v>
      </c>
      <c r="Y44" s="58">
        <f t="shared" si="1"/>
        <v>1.41</v>
      </c>
      <c r="Z44" s="59">
        <f t="shared" si="1"/>
        <v>8.247499999999999</v>
      </c>
      <c r="AA44" s="144"/>
      <c r="AB44" s="145"/>
      <c r="AF44" s="319" t="s">
        <v>265</v>
      </c>
      <c r="AG44" s="97">
        <f>COUNTIF(AG$2:AG$41,$AF44)</f>
        <v>7</v>
      </c>
      <c r="AH44" s="97">
        <f t="shared" si="0"/>
        <v>9</v>
      </c>
      <c r="AI44" s="97">
        <f t="shared" si="0"/>
        <v>9</v>
      </c>
      <c r="AJ44" s="97">
        <f t="shared" si="0"/>
        <v>9</v>
      </c>
      <c r="AK44" s="97">
        <f t="shared" si="0"/>
        <v>9</v>
      </c>
    </row>
    <row r="45" spans="2:37" s="6" customFormat="1" ht="12.75">
      <c r="B45" s="509"/>
      <c r="C45" s="54"/>
      <c r="D45" s="120"/>
      <c r="E45" s="120"/>
      <c r="F45" s="120"/>
      <c r="G45" s="121"/>
      <c r="H45" s="120"/>
      <c r="I45" s="122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22"/>
      <c r="AA45" s="142"/>
      <c r="AB45" s="143"/>
      <c r="AF45" s="392" t="s">
        <v>239</v>
      </c>
      <c r="AG45" s="97">
        <f>COUNTIF(AG$2:AG$41,$AF45)</f>
        <v>11</v>
      </c>
      <c r="AH45" s="97">
        <f t="shared" si="0"/>
        <v>8</v>
      </c>
      <c r="AI45" s="97">
        <f t="shared" si="0"/>
        <v>5</v>
      </c>
      <c r="AJ45" s="97">
        <f t="shared" si="0"/>
        <v>2</v>
      </c>
      <c r="AK45" s="97">
        <f t="shared" si="0"/>
        <v>0</v>
      </c>
    </row>
    <row r="46" spans="2:37" ht="12.75">
      <c r="B46" s="509"/>
      <c r="C46" s="45"/>
      <c r="D46" s="46"/>
      <c r="E46" s="46"/>
      <c r="F46" s="46"/>
      <c r="G46" s="45"/>
      <c r="H46" s="46"/>
      <c r="I46" s="63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3"/>
      <c r="AA46" s="144"/>
      <c r="AB46" s="145"/>
      <c r="AF46" s="391" t="s">
        <v>240</v>
      </c>
      <c r="AG46" s="97">
        <f>COUNTIF(AG$2:AG$41,$AF46)</f>
        <v>5</v>
      </c>
      <c r="AH46" s="97">
        <f t="shared" si="0"/>
        <v>2</v>
      </c>
      <c r="AI46" s="97">
        <f t="shared" si="0"/>
        <v>0</v>
      </c>
      <c r="AJ46" s="97">
        <f t="shared" si="0"/>
        <v>0</v>
      </c>
      <c r="AK46" s="97">
        <f t="shared" si="0"/>
        <v>0</v>
      </c>
    </row>
    <row r="47" spans="2:37" ht="12.75">
      <c r="B47" s="509" t="s">
        <v>81</v>
      </c>
      <c r="C47" s="40"/>
      <c r="D47" s="48">
        <f>SUMIF($F$2:$F$38,"2D",D$2:D$38)/COUNTIF($F$2:$F$38,"2D")</f>
        <v>23.76923076923077</v>
      </c>
      <c r="E47" s="41"/>
      <c r="F47" s="41"/>
      <c r="G47" s="67">
        <f>SUMIF($F$2:$F$38,"2D",G$2:G$38)/COUNTIF($F$2:$F$38,"2D")</f>
        <v>40.11923076923077</v>
      </c>
      <c r="H47" s="67">
        <f>SUMIF($F$2:$F$38,"2D",H$2:H$38)/COUNTIF($F$2:$F$38,"2D")</f>
        <v>77.38615384615383</v>
      </c>
      <c r="I47" s="33">
        <f>SUMIF($F$2:$F$38,"2D",I$2:I$38)/COUNTIF($F$2:$F$38,"2D")</f>
        <v>0.9276153846153845</v>
      </c>
      <c r="J47" s="58">
        <f aca="true" t="shared" si="2" ref="J47:Z47">SUMIF($F$2:$F$38,"2D",J$2:J$38)/COUNTIF($F$2:$F$38,"2D")</f>
        <v>57.8</v>
      </c>
      <c r="K47" s="58">
        <f t="shared" si="2"/>
        <v>1.1553846153846155</v>
      </c>
      <c r="L47" s="58">
        <f t="shared" si="2"/>
        <v>18.816923076923075</v>
      </c>
      <c r="M47" s="58">
        <f t="shared" si="2"/>
        <v>2.2369230769230772</v>
      </c>
      <c r="N47" s="58">
        <f t="shared" si="2"/>
        <v>19.22846153846154</v>
      </c>
      <c r="O47" s="58">
        <f t="shared" si="2"/>
        <v>15.773846153846156</v>
      </c>
      <c r="P47" s="58">
        <f t="shared" si="2"/>
        <v>18.585384615384616</v>
      </c>
      <c r="Q47" s="58">
        <f t="shared" si="2"/>
        <v>69.69692307692307</v>
      </c>
      <c r="R47" s="58">
        <f t="shared" si="2"/>
        <v>12.942307692307688</v>
      </c>
      <c r="S47" s="58">
        <f t="shared" si="2"/>
        <v>2.2261538461538466</v>
      </c>
      <c r="T47" s="58">
        <f t="shared" si="2"/>
        <v>33.476923076923086</v>
      </c>
      <c r="U47" s="58">
        <f t="shared" si="2"/>
        <v>62.47076923076923</v>
      </c>
      <c r="V47" s="58">
        <f t="shared" si="2"/>
        <v>12.505384615384617</v>
      </c>
      <c r="W47" s="58">
        <f t="shared" si="2"/>
        <v>56.56923076923076</v>
      </c>
      <c r="X47" s="58">
        <f t="shared" si="2"/>
        <v>54.3223076923077</v>
      </c>
      <c r="Y47" s="58">
        <f t="shared" si="2"/>
        <v>30.775384615384613</v>
      </c>
      <c r="Z47" s="59">
        <f t="shared" si="2"/>
        <v>6.433846153846153</v>
      </c>
      <c r="AA47" s="144"/>
      <c r="AB47" s="145"/>
      <c r="AF47" s="390" t="s">
        <v>293</v>
      </c>
      <c r="AG47" s="97">
        <f>COUNTIF(AG$2:AG$41,$AF47)</f>
        <v>4</v>
      </c>
      <c r="AH47" s="97">
        <f t="shared" si="0"/>
        <v>4</v>
      </c>
      <c r="AI47" s="97">
        <f t="shared" si="0"/>
        <v>5</v>
      </c>
      <c r="AJ47" s="97">
        <f t="shared" si="0"/>
        <v>2</v>
      </c>
      <c r="AK47" s="97">
        <f t="shared" si="0"/>
        <v>1</v>
      </c>
    </row>
    <row r="48" spans="2:37" s="6" customFormat="1" ht="12.75">
      <c r="B48" s="509"/>
      <c r="C48" s="54"/>
      <c r="D48" s="120"/>
      <c r="E48" s="120"/>
      <c r="F48" s="120"/>
      <c r="G48" s="121"/>
      <c r="H48" s="120"/>
      <c r="I48" s="122"/>
      <c r="J48" s="119"/>
      <c r="K48" s="123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22"/>
      <c r="AA48" s="142"/>
      <c r="AB48" s="143"/>
      <c r="AF48"/>
      <c r="AG48" s="8">
        <f>SUM(AG43:AG47)</f>
        <v>38</v>
      </c>
      <c r="AH48" s="8">
        <f>SUM(AH43:AH47)</f>
        <v>34</v>
      </c>
      <c r="AI48" s="8">
        <f>SUM(AI43:AI47)</f>
        <v>30</v>
      </c>
      <c r="AJ48" s="8">
        <f>SUM(AJ43:AJ47)</f>
        <v>24</v>
      </c>
      <c r="AK48" s="8">
        <f>SUM(AK43:AK47)</f>
        <v>21</v>
      </c>
    </row>
    <row r="49" spans="2:37" ht="12.75">
      <c r="B49" s="509"/>
      <c r="C49" s="45"/>
      <c r="D49" s="46"/>
      <c r="E49" s="46"/>
      <c r="F49" s="46"/>
      <c r="G49" s="45"/>
      <c r="H49" s="46"/>
      <c r="I49" s="63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3"/>
      <c r="AA49" s="144"/>
      <c r="AB49" s="145"/>
      <c r="AF49" s="97" t="s">
        <v>377</v>
      </c>
      <c r="AG49" s="85"/>
      <c r="AH49" s="85">
        <f>40-AH48-AG49</f>
        <v>6</v>
      </c>
      <c r="AI49" s="85">
        <f>40-AI48-AH49-AG49</f>
        <v>4</v>
      </c>
      <c r="AJ49" s="85">
        <f>40-AJ48-AI49-AH49-AG49</f>
        <v>6</v>
      </c>
      <c r="AK49" s="85">
        <f>40-AK48-AJ49-AI49-AH49-AG49</f>
        <v>3</v>
      </c>
    </row>
    <row r="50" spans="2:37" ht="12.75" customHeight="1">
      <c r="B50" s="509" t="s">
        <v>82</v>
      </c>
      <c r="C50" s="40"/>
      <c r="D50" s="48">
        <f>SUMIF($F$2:$F$38,"3M",D$2:D$38)/COUNTIF($F$2:$F$38,"3M")</f>
        <v>24.09090909090909</v>
      </c>
      <c r="E50" s="41"/>
      <c r="F50" s="41"/>
      <c r="G50" s="67">
        <f>SUMIF($F$2:$F$38,"3M",G$2:G$38)/COUNTIF($F$2:$F$38,"3M")</f>
        <v>46.17272727272728</v>
      </c>
      <c r="H50" s="67">
        <f>SUMIF($F$2:$F$38,"3M",H$2:H$38)/COUNTIF($F$2:$F$38,"3M")</f>
        <v>82.60636363636364</v>
      </c>
      <c r="I50" s="33">
        <f>SUMIF($F$2:$F$38,"3M",I$2:I$38)/COUNTIF($F$2:$F$38,"3M")</f>
        <v>0.9663636363636363</v>
      </c>
      <c r="J50" s="58">
        <f aca="true" t="shared" si="3" ref="J50:Z50">SUMIF($F$2:$F$38,"3M",J$2:J$38)/COUNTIF($F$2:$F$38,"3M")</f>
        <v>48.688181818181825</v>
      </c>
      <c r="K50" s="58">
        <f t="shared" si="3"/>
        <v>58.58727272727272</v>
      </c>
      <c r="L50" s="58">
        <f t="shared" si="3"/>
        <v>42.50727272727272</v>
      </c>
      <c r="M50" s="58">
        <f t="shared" si="3"/>
        <v>2.627272727272727</v>
      </c>
      <c r="N50" s="58">
        <f t="shared" si="3"/>
        <v>56.95909090909092</v>
      </c>
      <c r="O50" s="58">
        <f t="shared" si="3"/>
        <v>20.663636363636364</v>
      </c>
      <c r="P50" s="58">
        <f t="shared" si="3"/>
        <v>2.602727272727273</v>
      </c>
      <c r="Q50" s="58">
        <f t="shared" si="3"/>
        <v>66.04727272727273</v>
      </c>
      <c r="R50" s="58">
        <f t="shared" si="3"/>
        <v>66.93363636363637</v>
      </c>
      <c r="S50" s="58">
        <f t="shared" si="3"/>
        <v>22.734545454545454</v>
      </c>
      <c r="T50" s="58">
        <f t="shared" si="3"/>
        <v>85.41</v>
      </c>
      <c r="U50" s="58">
        <f t="shared" si="3"/>
        <v>63.565454545454536</v>
      </c>
      <c r="V50" s="58">
        <f t="shared" si="3"/>
        <v>1</v>
      </c>
      <c r="W50" s="58">
        <f t="shared" si="3"/>
        <v>25.10818181818182</v>
      </c>
      <c r="X50" s="58">
        <f t="shared" si="3"/>
        <v>40.85818181818181</v>
      </c>
      <c r="Y50" s="58">
        <f t="shared" si="3"/>
        <v>8.949090909090911</v>
      </c>
      <c r="Z50" s="59">
        <f t="shared" si="3"/>
        <v>1.0709090909090906</v>
      </c>
      <c r="AA50" s="144"/>
      <c r="AB50" s="145"/>
      <c r="AG50" s="510"/>
      <c r="AH50" s="510"/>
      <c r="AI50" s="510"/>
      <c r="AJ50" s="510"/>
      <c r="AK50" s="510"/>
    </row>
    <row r="51" spans="2:37" s="6" customFormat="1" ht="12.75">
      <c r="B51" s="509"/>
      <c r="C51" s="54"/>
      <c r="D51" s="120"/>
      <c r="E51" s="120"/>
      <c r="F51" s="120"/>
      <c r="G51" s="121"/>
      <c r="H51" s="120"/>
      <c r="I51" s="122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22"/>
      <c r="AA51" s="142"/>
      <c r="AB51" s="143"/>
      <c r="AF51"/>
      <c r="AG51" s="510"/>
      <c r="AH51" s="510"/>
      <c r="AI51" s="510"/>
      <c r="AJ51" s="510"/>
      <c r="AK51" s="510"/>
    </row>
    <row r="52" spans="2:37" ht="12.75">
      <c r="B52" s="509"/>
      <c r="C52" s="45"/>
      <c r="D52" s="46"/>
      <c r="E52" s="46"/>
      <c r="F52" s="46"/>
      <c r="G52" s="45"/>
      <c r="H52" s="46"/>
      <c r="I52" s="63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3"/>
      <c r="AA52" s="144"/>
      <c r="AB52" s="145"/>
      <c r="AG52" s="510"/>
      <c r="AH52" s="510"/>
      <c r="AI52" s="510"/>
      <c r="AJ52" s="510"/>
      <c r="AK52" s="510"/>
    </row>
    <row r="53" spans="2:37" ht="12.75">
      <c r="B53" s="509" t="s">
        <v>83</v>
      </c>
      <c r="C53" s="40"/>
      <c r="D53" s="48">
        <f>SUMIF($F$2:$F$38,"4A",D$2:D$38)/COUNTIF($F$2:$F$38,"4A")</f>
        <v>22.77777777777778</v>
      </c>
      <c r="E53" s="41"/>
      <c r="F53" s="41"/>
      <c r="G53" s="67">
        <f>SUMIF($F$2:$F$38,"4A",G$2:G$38)/COUNTIF($F$2:$F$38,"4A")</f>
        <v>48.69777777777777</v>
      </c>
      <c r="H53" s="67">
        <f>SUMIF($F$2:$F$38,"4A",H$2:H$38)/COUNTIF($F$2:$F$38,"4A")</f>
        <v>79.70111111111112</v>
      </c>
      <c r="I53" s="33">
        <f>SUMIF($F$2:$F$38,"4A",I$2:I$38)/COUNTIF($F$2:$F$38,"4A")</f>
        <v>0.9138888888888891</v>
      </c>
      <c r="J53" s="58">
        <f aca="true" t="shared" si="4" ref="J53:Z53">SUMIF($F$2:$F$38,"4A",J$2:J$38)/COUNTIF($F$2:$F$38,"4A")</f>
        <v>90.61444444444444</v>
      </c>
      <c r="K53" s="58">
        <f t="shared" si="4"/>
        <v>10.314444444444444</v>
      </c>
      <c r="L53" s="58">
        <f t="shared" si="4"/>
        <v>39.52444444444445</v>
      </c>
      <c r="M53" s="58">
        <f t="shared" si="4"/>
        <v>1.4422222222222223</v>
      </c>
      <c r="N53" s="58">
        <f t="shared" si="4"/>
        <v>61.95777777777778</v>
      </c>
      <c r="O53" s="58">
        <f t="shared" si="4"/>
        <v>14.92888888888889</v>
      </c>
      <c r="P53" s="58">
        <f t="shared" si="4"/>
        <v>2.7688888888888883</v>
      </c>
      <c r="Q53" s="58">
        <f t="shared" si="4"/>
        <v>56.67555555555555</v>
      </c>
      <c r="R53" s="58">
        <f t="shared" si="4"/>
        <v>67.00777777777779</v>
      </c>
      <c r="S53" s="58">
        <f t="shared" si="4"/>
        <v>92.3</v>
      </c>
      <c r="T53" s="58">
        <f t="shared" si="4"/>
        <v>80.40333333333334</v>
      </c>
      <c r="U53" s="58">
        <f t="shared" si="4"/>
        <v>64.03111111111112</v>
      </c>
      <c r="V53" s="58">
        <f t="shared" si="4"/>
        <v>1.3666666666666667</v>
      </c>
      <c r="W53" s="58">
        <f t="shared" si="4"/>
        <v>15.794444444444443</v>
      </c>
      <c r="X53" s="58">
        <f t="shared" si="4"/>
        <v>43.18</v>
      </c>
      <c r="Y53" s="58">
        <f t="shared" si="4"/>
        <v>63.338888888888896</v>
      </c>
      <c r="Z53" s="59">
        <f t="shared" si="4"/>
        <v>1</v>
      </c>
      <c r="AA53" s="144"/>
      <c r="AB53" s="145"/>
      <c r="AG53" s="510"/>
      <c r="AH53" s="510"/>
      <c r="AI53" s="510"/>
      <c r="AJ53" s="510"/>
      <c r="AK53" s="510"/>
    </row>
    <row r="54" spans="2:37" s="6" customFormat="1" ht="12.75">
      <c r="B54" s="509"/>
      <c r="C54" s="54"/>
      <c r="D54" s="120"/>
      <c r="E54" s="120"/>
      <c r="F54" s="120"/>
      <c r="G54" s="121"/>
      <c r="H54" s="120"/>
      <c r="I54" s="122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22"/>
      <c r="AA54" s="142"/>
      <c r="AB54" s="143"/>
      <c r="AF54"/>
      <c r="AG54" s="510"/>
      <c r="AH54" s="510"/>
      <c r="AI54" s="510"/>
      <c r="AJ54" s="510"/>
      <c r="AK54" s="510"/>
    </row>
    <row r="55" spans="2:34" ht="12.75">
      <c r="B55" s="509"/>
      <c r="C55" s="45"/>
      <c r="D55" s="46"/>
      <c r="E55" s="46"/>
      <c r="F55" s="46"/>
      <c r="G55" s="45"/>
      <c r="H55" s="46"/>
      <c r="I55" s="63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3"/>
      <c r="AA55" s="144"/>
      <c r="AB55" s="145"/>
      <c r="AG55" s="294">
        <v>3</v>
      </c>
      <c r="AH55" s="294">
        <v>5</v>
      </c>
    </row>
    <row r="56" spans="2:37" ht="12.75">
      <c r="B56" s="509" t="s">
        <v>84</v>
      </c>
      <c r="C56" s="40"/>
      <c r="D56" s="48">
        <f>SUMIF($E$2:$E$38,"E",D$2:D$38)/COUNTIF($E$2:$E$38,"E")</f>
        <v>20</v>
      </c>
      <c r="E56" s="41"/>
      <c r="F56" s="41"/>
      <c r="G56" s="67">
        <f>SUMIF($E$2:$E$38,"E",G$2:G$38)/COUNTIF($E$2:$E$38,"E")</f>
        <v>30.407333333333334</v>
      </c>
      <c r="H56" s="67">
        <f>SUMIF($E$2:$E$38,"E",H$2:H$38)/COUNTIF($E$2:$E$38,"E")</f>
        <v>60.406666666666666</v>
      </c>
      <c r="I56" s="33">
        <f>SUMIF($E$2:$E$38,"E",I$2:I$38)/COUNTIF($E$2:$E$38,"E")</f>
        <v>0.9045333333333334</v>
      </c>
      <c r="J56" s="58">
        <f aca="true" t="shared" si="5" ref="J56:Z56">SUMIF($E$2:$E$38,"E",J$2:J$38)/COUNTIF($E$2:$E$38,"E")</f>
        <v>35.18266666666666</v>
      </c>
      <c r="K56" s="58">
        <f t="shared" si="5"/>
        <v>16.140666666666664</v>
      </c>
      <c r="L56" s="58">
        <f t="shared" si="5"/>
        <v>23.149999999999995</v>
      </c>
      <c r="M56" s="58">
        <f t="shared" si="5"/>
        <v>3.0973333333333337</v>
      </c>
      <c r="N56" s="58">
        <f t="shared" si="5"/>
        <v>31.699333333333332</v>
      </c>
      <c r="O56" s="58">
        <f t="shared" si="5"/>
        <v>8.404666666666666</v>
      </c>
      <c r="P56" s="58">
        <f t="shared" si="5"/>
        <v>4.642666666666667</v>
      </c>
      <c r="Q56" s="58">
        <f t="shared" si="5"/>
        <v>42.77733333333334</v>
      </c>
      <c r="R56" s="58">
        <f t="shared" si="5"/>
        <v>27.072666666666667</v>
      </c>
      <c r="S56" s="58">
        <f t="shared" si="5"/>
        <v>16.223333333333333</v>
      </c>
      <c r="T56" s="58">
        <f t="shared" si="5"/>
        <v>44.08</v>
      </c>
      <c r="U56" s="58">
        <f t="shared" si="5"/>
        <v>45.87800000000001</v>
      </c>
      <c r="V56" s="58">
        <f t="shared" si="5"/>
        <v>10.968666666666667</v>
      </c>
      <c r="W56" s="58">
        <f t="shared" si="5"/>
        <v>21.956666666666663</v>
      </c>
      <c r="X56" s="58">
        <f t="shared" si="5"/>
        <v>35.72266666666667</v>
      </c>
      <c r="Y56" s="58">
        <f t="shared" si="5"/>
        <v>12.377999999999998</v>
      </c>
      <c r="Z56" s="59">
        <f t="shared" si="5"/>
        <v>1.026</v>
      </c>
      <c r="AA56" s="144"/>
      <c r="AB56" s="145"/>
      <c r="AG56" s="6">
        <f>40-AG48-AG55</f>
        <v>-1</v>
      </c>
      <c r="AH56" s="6">
        <f>40-AH48-AG55-AH53</f>
        <v>3</v>
      </c>
      <c r="AI56" s="6">
        <f>40-AI48-AH55-AI53</f>
        <v>5</v>
      </c>
      <c r="AJ56" s="6">
        <f>40-AJ48-AI55-AJ53</f>
        <v>16</v>
      </c>
      <c r="AK56" s="6">
        <f>40-AK48-AJ55-AK53</f>
        <v>19</v>
      </c>
    </row>
    <row r="57" spans="2:33" s="6" customFormat="1" ht="12.75">
      <c r="B57" s="509"/>
      <c r="C57" s="54"/>
      <c r="D57" s="120"/>
      <c r="E57" s="120"/>
      <c r="F57" s="120"/>
      <c r="G57" s="121"/>
      <c r="H57" s="120"/>
      <c r="I57" s="122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22"/>
      <c r="AA57" s="142"/>
      <c r="AB57" s="143"/>
      <c r="AF57"/>
      <c r="AG57" s="97"/>
    </row>
    <row r="58" spans="2:28" ht="12.75">
      <c r="B58" s="509"/>
      <c r="C58" s="45"/>
      <c r="D58" s="46"/>
      <c r="E58" s="46"/>
      <c r="F58" s="46"/>
      <c r="G58" s="45"/>
      <c r="H58" s="46"/>
      <c r="I58" s="63"/>
      <c r="J58" s="62"/>
      <c r="K58" s="62"/>
      <c r="L58" s="62"/>
      <c r="M58" s="62"/>
      <c r="N58" s="62"/>
      <c r="O58" s="76"/>
      <c r="P58" s="62"/>
      <c r="Q58" s="62"/>
      <c r="R58" s="62"/>
      <c r="S58" s="62"/>
      <c r="T58" s="62"/>
      <c r="U58" s="76"/>
      <c r="V58" s="76"/>
      <c r="W58" s="76"/>
      <c r="X58" s="76"/>
      <c r="Y58" s="76"/>
      <c r="Z58" s="77"/>
      <c r="AA58" s="144"/>
      <c r="AB58" s="145"/>
    </row>
    <row r="59" spans="2:31" ht="12.75">
      <c r="B59" s="28" t="s">
        <v>85</v>
      </c>
      <c r="J59" s="186">
        <v>40497</v>
      </c>
      <c r="K59" s="187">
        <f>J59+1</f>
        <v>40498</v>
      </c>
      <c r="L59" s="187">
        <f>K59+1</f>
        <v>40499</v>
      </c>
      <c r="M59" s="187">
        <f>L59+1</f>
        <v>40500</v>
      </c>
      <c r="N59" s="188">
        <f>M59+1</f>
        <v>40501</v>
      </c>
      <c r="O59" s="123"/>
      <c r="P59" s="186">
        <f>N59+3</f>
        <v>40504</v>
      </c>
      <c r="Q59" s="187">
        <f>P59+1</f>
        <v>40505</v>
      </c>
      <c r="R59" s="187">
        <f>Q59+1</f>
        <v>40506</v>
      </c>
      <c r="S59" s="187">
        <f>R59+1</f>
        <v>40507</v>
      </c>
      <c r="T59" s="188">
        <f>S59+1</f>
        <v>40508</v>
      </c>
      <c r="V59" s="78"/>
      <c r="W59" s="78"/>
      <c r="X59" s="78"/>
      <c r="Y59" s="78"/>
      <c r="Z59" s="78"/>
      <c r="AA59" s="144"/>
      <c r="AB59" s="145"/>
      <c r="AE59" s="106"/>
    </row>
    <row r="60" spans="7:28" ht="12.75">
      <c r="G60" s="511" t="s">
        <v>83</v>
      </c>
      <c r="H60" s="511"/>
      <c r="I60" s="513"/>
      <c r="J60" s="217"/>
      <c r="K60" s="218"/>
      <c r="L60" s="218"/>
      <c r="M60" s="218" t="s">
        <v>34</v>
      </c>
      <c r="N60" s="219" t="s">
        <v>55</v>
      </c>
      <c r="O60" s="220"/>
      <c r="P60" s="217" t="s">
        <v>91</v>
      </c>
      <c r="Q60" s="218" t="s">
        <v>92</v>
      </c>
      <c r="R60" s="189" t="s">
        <v>35</v>
      </c>
      <c r="S60" s="210" t="s">
        <v>69</v>
      </c>
      <c r="T60" s="211" t="s">
        <v>71</v>
      </c>
      <c r="V60" s="55"/>
      <c r="W60" s="55"/>
      <c r="X60" s="55"/>
      <c r="Y60" s="55"/>
      <c r="Z60" s="55"/>
      <c r="AA60" s="144"/>
      <c r="AB60" s="145"/>
    </row>
    <row r="61" spans="7:28" ht="12.75">
      <c r="G61" s="511" t="s">
        <v>82</v>
      </c>
      <c r="H61" s="511"/>
      <c r="I61" s="513"/>
      <c r="J61" s="69"/>
      <c r="K61" s="60"/>
      <c r="L61" s="60"/>
      <c r="M61" s="60" t="s">
        <v>70</v>
      </c>
      <c r="N61" s="61" t="s">
        <v>60</v>
      </c>
      <c r="O61" s="220"/>
      <c r="P61" s="69" t="s">
        <v>143</v>
      </c>
      <c r="Q61" s="60" t="s">
        <v>34</v>
      </c>
      <c r="R61" s="119" t="s">
        <v>35</v>
      </c>
      <c r="S61" s="89" t="s">
        <v>69</v>
      </c>
      <c r="T61" s="212" t="s">
        <v>57</v>
      </c>
      <c r="V61" s="55"/>
      <c r="W61" s="55"/>
      <c r="X61" s="55"/>
      <c r="Y61" s="55"/>
      <c r="Z61" s="55"/>
      <c r="AA61" s="144"/>
      <c r="AB61" s="145"/>
    </row>
    <row r="62" spans="7:28" ht="12.75">
      <c r="G62" s="511" t="s">
        <v>81</v>
      </c>
      <c r="H62" s="511"/>
      <c r="I62" s="513"/>
      <c r="J62" s="69"/>
      <c r="K62" s="60"/>
      <c r="L62" s="60"/>
      <c r="M62" s="60" t="s">
        <v>61</v>
      </c>
      <c r="N62" s="61" t="s">
        <v>92</v>
      </c>
      <c r="O62" s="220"/>
      <c r="P62" s="69" t="s">
        <v>91</v>
      </c>
      <c r="Q62" s="60" t="s">
        <v>144</v>
      </c>
      <c r="R62" s="119" t="s">
        <v>35</v>
      </c>
      <c r="S62" s="89" t="s">
        <v>55</v>
      </c>
      <c r="T62" s="212" t="s">
        <v>34</v>
      </c>
      <c r="V62" s="55"/>
      <c r="W62" s="55"/>
      <c r="X62" s="55"/>
      <c r="Y62" s="55"/>
      <c r="Z62" s="55"/>
      <c r="AA62" s="144"/>
      <c r="AB62" s="145"/>
    </row>
    <row r="63" spans="7:28" ht="12.75">
      <c r="G63" s="511" t="s">
        <v>80</v>
      </c>
      <c r="H63" s="511"/>
      <c r="I63" s="513"/>
      <c r="J63" s="221"/>
      <c r="K63" s="222"/>
      <c r="L63" s="222"/>
      <c r="M63" s="222" t="s">
        <v>69</v>
      </c>
      <c r="N63" s="223" t="s">
        <v>34</v>
      </c>
      <c r="O63" s="220"/>
      <c r="P63" s="221" t="s">
        <v>143</v>
      </c>
      <c r="Q63" s="222" t="s">
        <v>144</v>
      </c>
      <c r="R63" s="190" t="s">
        <v>35</v>
      </c>
      <c r="S63" s="213" t="s">
        <v>26</v>
      </c>
      <c r="T63" s="214" t="s">
        <v>34</v>
      </c>
      <c r="V63" s="55"/>
      <c r="W63" s="55"/>
      <c r="X63" s="55"/>
      <c r="Y63" s="55"/>
      <c r="Z63" s="55"/>
      <c r="AA63" s="144"/>
      <c r="AB63" s="145"/>
    </row>
    <row r="64" spans="10:28" ht="12.75"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V64" s="1"/>
      <c r="W64" s="1"/>
      <c r="X64" s="1"/>
      <c r="Y64" s="1"/>
      <c r="Z64" s="1"/>
      <c r="AA64" s="144"/>
      <c r="AB64" s="145"/>
    </row>
    <row r="65" spans="7:28" ht="12.75">
      <c r="G65" s="513"/>
      <c r="H65" s="513"/>
      <c r="I65" s="512"/>
      <c r="J65" s="191">
        <f>J59+14</f>
        <v>40511</v>
      </c>
      <c r="K65" s="192">
        <f>J65+1</f>
        <v>40512</v>
      </c>
      <c r="L65" s="192">
        <f>K65+1</f>
        <v>40513</v>
      </c>
      <c r="M65" s="192">
        <f>L65+1</f>
        <v>40514</v>
      </c>
      <c r="N65" s="193">
        <f>M65+1</f>
        <v>40515</v>
      </c>
      <c r="O65" s="119"/>
      <c r="P65" s="191">
        <f>N65+3</f>
        <v>40518</v>
      </c>
      <c r="Q65" s="192">
        <f>P65+1</f>
        <v>40519</v>
      </c>
      <c r="R65" s="192">
        <f>Q65+1</f>
        <v>40520</v>
      </c>
      <c r="S65" s="192">
        <f>R65+1</f>
        <v>40521</v>
      </c>
      <c r="T65" s="193">
        <f>S65+1</f>
        <v>40522</v>
      </c>
      <c r="V65" s="78"/>
      <c r="W65" s="1"/>
      <c r="X65" s="1"/>
      <c r="Y65" s="1"/>
      <c r="Z65" s="1"/>
      <c r="AA65" s="144"/>
      <c r="AB65" s="145"/>
    </row>
    <row r="66" spans="7:28" ht="12.75">
      <c r="G66" s="511" t="s">
        <v>83</v>
      </c>
      <c r="H66" s="511"/>
      <c r="I66" s="512"/>
      <c r="J66" s="93" t="s">
        <v>61</v>
      </c>
      <c r="K66" s="89" t="s">
        <v>57</v>
      </c>
      <c r="L66" s="89" t="s">
        <v>68</v>
      </c>
      <c r="M66" s="89" t="s">
        <v>145</v>
      </c>
      <c r="N66" s="212" t="s">
        <v>92</v>
      </c>
      <c r="O66" s="89"/>
      <c r="P66" s="93" t="s">
        <v>143</v>
      </c>
      <c r="Q66" s="89" t="s">
        <v>55</v>
      </c>
      <c r="R66" s="89" t="s">
        <v>60</v>
      </c>
      <c r="S66" s="89" t="s">
        <v>70</v>
      </c>
      <c r="T66" s="212" t="s">
        <v>34</v>
      </c>
      <c r="V66" s="55"/>
      <c r="W66" s="1"/>
      <c r="X66" s="1"/>
      <c r="Y66" s="1"/>
      <c r="Z66" s="1"/>
      <c r="AA66" s="144"/>
      <c r="AB66" s="145"/>
    </row>
    <row r="67" spans="7:28" ht="12.75">
      <c r="G67" s="511" t="s">
        <v>82</v>
      </c>
      <c r="H67" s="511"/>
      <c r="I67" s="512"/>
      <c r="J67" s="93" t="s">
        <v>71</v>
      </c>
      <c r="K67" s="89" t="s">
        <v>70</v>
      </c>
      <c r="L67" s="89" t="s">
        <v>68</v>
      </c>
      <c r="M67" s="89" t="s">
        <v>92</v>
      </c>
      <c r="N67" s="212" t="s">
        <v>61</v>
      </c>
      <c r="O67" s="89"/>
      <c r="P67" s="93" t="s">
        <v>35</v>
      </c>
      <c r="Q67" s="89" t="s">
        <v>143</v>
      </c>
      <c r="R67" s="89" t="s">
        <v>60</v>
      </c>
      <c r="S67" s="89" t="s">
        <v>55</v>
      </c>
      <c r="T67" s="212" t="s">
        <v>71</v>
      </c>
      <c r="V67" s="55"/>
      <c r="W67" s="1"/>
      <c r="X67" s="1"/>
      <c r="Y67" s="1"/>
      <c r="Z67" s="1"/>
      <c r="AA67" s="144"/>
      <c r="AB67" s="145"/>
    </row>
    <row r="68" spans="7:28" ht="12.75">
      <c r="G68" s="511" t="s">
        <v>81</v>
      </c>
      <c r="H68" s="511"/>
      <c r="I68" s="512"/>
      <c r="J68" s="93" t="s">
        <v>26</v>
      </c>
      <c r="K68" s="89" t="s">
        <v>92</v>
      </c>
      <c r="L68" s="89" t="s">
        <v>68</v>
      </c>
      <c r="M68" s="89" t="s">
        <v>71</v>
      </c>
      <c r="N68" s="212" t="s">
        <v>72</v>
      </c>
      <c r="O68" s="89"/>
      <c r="P68" s="93" t="s">
        <v>35</v>
      </c>
      <c r="Q68" s="89" t="s">
        <v>70</v>
      </c>
      <c r="R68" s="89" t="s">
        <v>60</v>
      </c>
      <c r="S68" s="89"/>
      <c r="T68" s="212"/>
      <c r="V68" s="55"/>
      <c r="W68" s="1"/>
      <c r="X68" s="1"/>
      <c r="Y68" s="1"/>
      <c r="Z68" s="1"/>
      <c r="AA68" s="144"/>
      <c r="AB68" s="145"/>
    </row>
    <row r="69" spans="7:28" ht="12.75">
      <c r="G69" s="511" t="s">
        <v>80</v>
      </c>
      <c r="H69" s="511"/>
      <c r="I69" s="512"/>
      <c r="J69" s="215" t="s">
        <v>57</v>
      </c>
      <c r="K69" s="213" t="s">
        <v>92</v>
      </c>
      <c r="L69" s="213" t="s">
        <v>69</v>
      </c>
      <c r="M69" s="213" t="s">
        <v>71</v>
      </c>
      <c r="N69" s="214" t="s">
        <v>72</v>
      </c>
      <c r="O69" s="216"/>
      <c r="P69" s="215" t="s">
        <v>35</v>
      </c>
      <c r="Q69" s="213" t="s">
        <v>61</v>
      </c>
      <c r="R69" s="213" t="s">
        <v>143</v>
      </c>
      <c r="S69" s="213"/>
      <c r="T69" s="214"/>
      <c r="V69" s="55"/>
      <c r="W69" s="1"/>
      <c r="X69" s="1"/>
      <c r="Y69" s="1"/>
      <c r="Z69" s="1"/>
      <c r="AA69" s="144"/>
      <c r="AB69" s="145"/>
    </row>
    <row r="70" spans="27:28" ht="12.75">
      <c r="AA70" s="144"/>
      <c r="AB70" s="145"/>
    </row>
    <row r="71" spans="7:28" ht="12.75">
      <c r="G71" s="185"/>
      <c r="H71" s="185"/>
      <c r="I71" s="185"/>
      <c r="J71" s="182"/>
      <c r="K71" s="182"/>
      <c r="L71" s="182"/>
      <c r="M71" s="182"/>
      <c r="N71" s="182"/>
      <c r="O71" s="8"/>
      <c r="P71" s="183"/>
      <c r="Q71" s="182"/>
      <c r="R71" s="182"/>
      <c r="S71" s="182"/>
      <c r="T71" s="182"/>
      <c r="U71" s="4"/>
      <c r="V71" s="182"/>
      <c r="W71" s="4"/>
      <c r="X71" s="4"/>
      <c r="Y71" s="4"/>
      <c r="Z71" s="4"/>
      <c r="AA71" s="101"/>
      <c r="AB71" s="145"/>
    </row>
    <row r="72" spans="7:28" ht="12.75">
      <c r="G72" s="185"/>
      <c r="H72" s="185"/>
      <c r="I72" s="185"/>
      <c r="J72" s="184"/>
      <c r="K72" s="184"/>
      <c r="L72" s="184"/>
      <c r="M72" s="184"/>
      <c r="N72" s="184"/>
      <c r="O72" s="8"/>
      <c r="P72" s="184"/>
      <c r="Q72" s="184"/>
      <c r="R72" s="184"/>
      <c r="S72" s="184"/>
      <c r="T72" s="184"/>
      <c r="U72" s="4"/>
      <c r="V72" s="184"/>
      <c r="W72" s="4"/>
      <c r="X72" s="4"/>
      <c r="Y72" s="4"/>
      <c r="Z72" s="4"/>
      <c r="AA72" s="101"/>
      <c r="AB72" s="145"/>
    </row>
    <row r="73" spans="7:28" ht="12.75">
      <c r="G73" s="185"/>
      <c r="H73" s="185"/>
      <c r="I73" s="185"/>
      <c r="J73" s="184"/>
      <c r="K73" s="184"/>
      <c r="L73" s="184"/>
      <c r="M73" s="184"/>
      <c r="N73" s="184"/>
      <c r="O73" s="8"/>
      <c r="P73" s="184"/>
      <c r="Q73" s="184"/>
      <c r="R73" s="184"/>
      <c r="S73" s="184"/>
      <c r="T73" s="184"/>
      <c r="U73" s="4"/>
      <c r="V73" s="184"/>
      <c r="W73" s="4"/>
      <c r="X73" s="4"/>
      <c r="Y73" s="4"/>
      <c r="Z73" s="4"/>
      <c r="AA73" s="101"/>
      <c r="AB73" s="145"/>
    </row>
    <row r="74" spans="7:28" ht="12.75">
      <c r="G74" s="185"/>
      <c r="H74" s="185"/>
      <c r="I74" s="185"/>
      <c r="J74" s="184"/>
      <c r="K74" s="184"/>
      <c r="L74" s="184"/>
      <c r="M74" s="184"/>
      <c r="N74" s="184"/>
      <c r="O74" s="8"/>
      <c r="P74" s="184"/>
      <c r="Q74" s="184"/>
      <c r="R74" s="184"/>
      <c r="S74" s="184"/>
      <c r="T74" s="184"/>
      <c r="U74" s="4"/>
      <c r="V74" s="184"/>
      <c r="W74" s="4"/>
      <c r="X74" s="4"/>
      <c r="Y74" s="4"/>
      <c r="Z74" s="4"/>
      <c r="AA74" s="101"/>
      <c r="AB74" s="145"/>
    </row>
    <row r="75" spans="7:28" ht="12.75">
      <c r="G75" s="185"/>
      <c r="H75" s="185"/>
      <c r="I75" s="185"/>
      <c r="J75" s="184"/>
      <c r="K75" s="184"/>
      <c r="L75" s="184"/>
      <c r="M75" s="184"/>
      <c r="N75" s="184"/>
      <c r="O75" s="4"/>
      <c r="P75" s="4"/>
      <c r="Q75" s="4"/>
      <c r="R75" s="4"/>
      <c r="S75" s="4"/>
      <c r="T75" s="4"/>
      <c r="U75" s="4"/>
      <c r="V75" s="184"/>
      <c r="W75" s="4"/>
      <c r="X75" s="4"/>
      <c r="Y75" s="4"/>
      <c r="Z75" s="4"/>
      <c r="AA75" s="101"/>
      <c r="AB75" s="145"/>
    </row>
    <row r="76" spans="7:28" ht="12.7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101"/>
      <c r="AB76" s="145"/>
    </row>
    <row r="77" spans="7:28" ht="12.75"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101"/>
      <c r="AB77" s="145"/>
    </row>
    <row r="78" spans="7:28" ht="12.75"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101"/>
      <c r="AB78" s="145"/>
    </row>
    <row r="79" spans="27:28" ht="12.75">
      <c r="AA79" s="144"/>
      <c r="AB79" s="145"/>
    </row>
    <row r="80" spans="27:28" ht="12.75">
      <c r="AA80" s="144"/>
      <c r="AB80" s="145"/>
    </row>
    <row r="81" spans="27:28" ht="12.75">
      <c r="AA81" s="144"/>
      <c r="AB81" s="145"/>
    </row>
    <row r="82" spans="27:28" ht="12.75">
      <c r="AA82" s="144"/>
      <c r="AB82" s="145"/>
    </row>
    <row r="83" spans="27:28" ht="12.75">
      <c r="AA83" s="144"/>
      <c r="AB83" s="145"/>
    </row>
    <row r="84" spans="27:28" ht="12.75">
      <c r="AA84" s="144"/>
      <c r="AB84" s="145"/>
    </row>
    <row r="85" spans="27:28" ht="12.75">
      <c r="AA85" s="144"/>
      <c r="AB85" s="145"/>
    </row>
    <row r="86" spans="27:28" ht="12.75">
      <c r="AA86" s="144"/>
      <c r="AB86" s="145"/>
    </row>
    <row r="87" spans="27:28" ht="12.75">
      <c r="AA87" s="144"/>
      <c r="AB87" s="145"/>
    </row>
    <row r="88" spans="27:28" ht="12.75">
      <c r="AA88" s="144"/>
      <c r="AB88" s="145"/>
    </row>
    <row r="89" spans="27:28" ht="12.75">
      <c r="AA89" s="144"/>
      <c r="AB89" s="145"/>
    </row>
    <row r="90" spans="27:28" ht="12.75">
      <c r="AA90" s="144"/>
      <c r="AB90" s="145"/>
    </row>
    <row r="91" spans="27:28" ht="12.75">
      <c r="AA91" s="144"/>
      <c r="AB91" s="145"/>
    </row>
    <row r="92" spans="27:28" ht="12.75">
      <c r="AA92" s="144"/>
      <c r="AB92" s="145"/>
    </row>
    <row r="93" spans="27:28" ht="12.75">
      <c r="AA93" s="144"/>
      <c r="AB93" s="145"/>
    </row>
    <row r="94" spans="27:28" ht="12.75">
      <c r="AA94" s="144"/>
      <c r="AB94" s="145"/>
    </row>
    <row r="95" spans="27:28" ht="12.75">
      <c r="AA95" s="144"/>
      <c r="AB95" s="145"/>
    </row>
    <row r="96" spans="27:28" ht="12.75">
      <c r="AA96" s="144"/>
      <c r="AB96" s="145"/>
    </row>
    <row r="97" spans="27:28" ht="12.75">
      <c r="AA97" s="144"/>
      <c r="AB97" s="145"/>
    </row>
    <row r="98" spans="27:28" ht="12.75">
      <c r="AA98" s="144"/>
      <c r="AB98" s="145"/>
    </row>
    <row r="99" spans="27:28" ht="12.75">
      <c r="AA99" s="144"/>
      <c r="AB99" s="145"/>
    </row>
    <row r="100" spans="27:28" ht="12.75">
      <c r="AA100" s="144"/>
      <c r="AB100" s="145"/>
    </row>
    <row r="101" spans="27:28" ht="12.75">
      <c r="AA101" s="144"/>
      <c r="AB101" s="145"/>
    </row>
    <row r="102" spans="27:28" ht="12.75">
      <c r="AA102" s="144"/>
      <c r="AB102" s="145"/>
    </row>
    <row r="103" spans="27:28" ht="12.75">
      <c r="AA103" s="144"/>
      <c r="AB103" s="145"/>
    </row>
    <row r="104" spans="27:28" ht="12.75">
      <c r="AA104" s="144"/>
      <c r="AB104" s="145"/>
    </row>
    <row r="105" spans="27:28" ht="12.75">
      <c r="AA105" s="144"/>
      <c r="AB105" s="145"/>
    </row>
    <row r="106" spans="27:28" ht="12.75">
      <c r="AA106" s="144"/>
      <c r="AB106" s="145"/>
    </row>
    <row r="107" spans="27:28" ht="12.75">
      <c r="AA107" s="144"/>
      <c r="AB107" s="145"/>
    </row>
    <row r="108" spans="27:28" ht="12.75">
      <c r="AA108" s="144"/>
      <c r="AB108" s="145"/>
    </row>
    <row r="109" spans="27:28" ht="12.75">
      <c r="AA109" s="144"/>
      <c r="AB109" s="145"/>
    </row>
    <row r="110" spans="27:28" ht="12.75">
      <c r="AA110" s="144"/>
      <c r="AB110" s="145"/>
    </row>
    <row r="111" spans="27:28" ht="12.75">
      <c r="AA111" s="144"/>
      <c r="AB111" s="145"/>
    </row>
    <row r="112" spans="27:28" ht="12.75">
      <c r="AA112" s="144"/>
      <c r="AB112" s="145"/>
    </row>
    <row r="113" spans="27:28" ht="12.75">
      <c r="AA113" s="144"/>
      <c r="AB113" s="145"/>
    </row>
    <row r="114" spans="27:28" ht="12.75">
      <c r="AA114" s="144"/>
      <c r="AB114" s="145"/>
    </row>
    <row r="115" spans="27:28" ht="12.75">
      <c r="AA115" s="144"/>
      <c r="AB115" s="145"/>
    </row>
    <row r="116" spans="27:28" ht="12.75">
      <c r="AA116" s="144"/>
      <c r="AB116" s="145"/>
    </row>
    <row r="117" spans="27:28" ht="12.75">
      <c r="AA117" s="144"/>
      <c r="AB117" s="145"/>
    </row>
    <row r="118" spans="27:28" ht="12.75">
      <c r="AA118" s="144"/>
      <c r="AB118" s="145"/>
    </row>
    <row r="119" spans="27:28" ht="12.75">
      <c r="AA119" s="144"/>
      <c r="AB119" s="145"/>
    </row>
    <row r="120" spans="27:28" ht="12.75">
      <c r="AA120" s="144"/>
      <c r="AB120" s="145"/>
    </row>
    <row r="121" spans="27:28" ht="12.75">
      <c r="AA121" s="144"/>
      <c r="AB121" s="145"/>
    </row>
    <row r="122" spans="27:28" ht="12.75">
      <c r="AA122" s="144"/>
      <c r="AB122" s="145"/>
    </row>
    <row r="123" spans="27:28" ht="12.75">
      <c r="AA123" s="144"/>
      <c r="AB123" s="145"/>
    </row>
    <row r="124" spans="27:28" ht="12.75">
      <c r="AA124" s="144"/>
      <c r="AB124" s="145"/>
    </row>
    <row r="125" spans="27:28" ht="12.75">
      <c r="AA125" s="144"/>
      <c r="AB125" s="145"/>
    </row>
    <row r="126" spans="27:28" ht="12.75">
      <c r="AA126" s="144"/>
      <c r="AB126" s="145"/>
    </row>
  </sheetData>
  <sheetProtection/>
  <autoFilter ref="A1:AK63">
    <sortState ref="A2:AK126">
      <sortCondition sortBy="value" ref="F2:F126"/>
      <sortCondition descending="1" sortBy="value" ref="G2:G126"/>
    </sortState>
  </autoFilter>
  <mergeCells count="19">
    <mergeCell ref="AG50:AG54"/>
    <mergeCell ref="B56:B58"/>
    <mergeCell ref="G62:I62"/>
    <mergeCell ref="G63:I63"/>
    <mergeCell ref="B44:B46"/>
    <mergeCell ref="B47:B49"/>
    <mergeCell ref="B50:B52"/>
    <mergeCell ref="G60:I60"/>
    <mergeCell ref="G61:I61"/>
    <mergeCell ref="AH50:AH54"/>
    <mergeCell ref="AI50:AI54"/>
    <mergeCell ref="AJ50:AJ54"/>
    <mergeCell ref="AK50:AK54"/>
    <mergeCell ref="B53:B55"/>
    <mergeCell ref="G69:I69"/>
    <mergeCell ref="G65:I65"/>
    <mergeCell ref="G66:I66"/>
    <mergeCell ref="G67:I67"/>
    <mergeCell ref="G68:I68"/>
  </mergeCells>
  <conditionalFormatting sqref="I3">
    <cfRule type="cellIs" priority="2" dxfId="7" operator="lessThanOrEqual" stopIfTrue="1">
      <formula>0.65</formula>
    </cfRule>
  </conditionalFormatting>
  <conditionalFormatting sqref="I2:I41">
    <cfRule type="cellIs" priority="1" dxfId="7" operator="lessThanOrEqual" stopIfTrue="1">
      <formula>0.65</formula>
    </cfRule>
  </conditionalFormatting>
  <hyperlinks>
    <hyperlink ref="C1" r:id="rId1" display="http://www.11manager.com/ClubHouse.php?page=equipe_effectif.php&amp;name=e2a921a33c4b4a4450deb681e4d3528a"/>
    <hyperlink ref="D1" r:id="rId2" display="http://www.11manager.com/ClubHouse.php?page=equipe_effectif.php&amp;name=e2a921a33c4b4a4450deb681e4d3528a"/>
    <hyperlink ref="I1" r:id="rId3" display="http://www.11manager.com/ClubHouse.php?page=equipe_effectif.php&amp;name=e2a921a33c4b4a4450deb681e4d3528a"/>
    <hyperlink ref="J1" r:id="rId4" display="http://www.11manager.com/ClubHouse.php?page=equipe_effectif.php&amp;name=e2a921a33c4b4a4450deb681e4d3528a"/>
    <hyperlink ref="K1" r:id="rId5" display="http://www.11manager.com/ClubHouse.php?page=equipe_effectif.php&amp;name=e2a921a33c4b4a4450deb681e4d3528a"/>
    <hyperlink ref="L1" r:id="rId6" display="http://www.11manager.com/ClubHouse.php?page=equipe_effectif.php&amp;name=e2a921a33c4b4a4450deb681e4d3528a"/>
    <hyperlink ref="M1" r:id="rId7" display="http://www.11manager.com/ClubHouse.php?page=equipe_effectif.php&amp;name=e2a921a33c4b4a4450deb681e4d3528a"/>
    <hyperlink ref="N1" r:id="rId8" display="http://www.11manager.com/ClubHouse.php?page=equipe_effectif.php&amp;name=e2a921a33c4b4a4450deb681e4d3528a"/>
    <hyperlink ref="O1" r:id="rId9" display="http://www.11manager.com/ClubHouse.php?page=equipe_effectif.php&amp;name=e2a921a33c4b4a4450deb681e4d3528a"/>
    <hyperlink ref="P1" r:id="rId10" display="http://www.11manager.com/ClubHouse.php?page=equipe_effectif.php&amp;name=e2a921a33c4b4a4450deb681e4d3528a"/>
    <hyperlink ref="Q1" r:id="rId11" display="http://www.11manager.com/ClubHouse.php?page=equipe_effectif.php&amp;name=e2a921a33c4b4a4450deb681e4d3528a"/>
    <hyperlink ref="R1" r:id="rId12" display="http://www.11manager.com/ClubHouse.php?page=equipe_effectif.php&amp;name=e2a921a33c4b4a4450deb681e4d3528a"/>
    <hyperlink ref="S1" r:id="rId13" display="http://www.11manager.com/ClubHouse.php?page=equipe_effectif.php&amp;name=e2a921a33c4b4a4450deb681e4d3528a"/>
    <hyperlink ref="T1" r:id="rId14" display="http://www.11manager.com/ClubHouse.php?page=equipe_effectif.php&amp;name=e2a921a33c4b4a4450deb681e4d3528a"/>
    <hyperlink ref="U1" r:id="rId15" display="http://www.11manager.com/ClubHouse.php?page=equipe_effectif.php&amp;name=e2a921a33c4b4a4450deb681e4d3528a"/>
    <hyperlink ref="V1" r:id="rId16" display="http://www.11manager.com/ClubHouse.php?page=equipe_effectif.php&amp;name=e2a921a33c4b4a4450deb681e4d3528a"/>
    <hyperlink ref="W1" r:id="rId17" display="http://www.11manager.com/ClubHouse.php?page=equipe_effectif.php&amp;name=e2a921a33c4b4a4450deb681e4d3528a"/>
    <hyperlink ref="X1" r:id="rId18" display="http://www.11manager.com/ClubHouse.php?page=equipe_effectif.php&amp;name=e2a921a33c4b4a4450deb681e4d3528a"/>
    <hyperlink ref="Y1" r:id="rId19" display="http://www.11manager.com/ClubHouse.php?page=equipe_effectif.php&amp;name=e2a921a33c4b4a4450deb681e4d3528a"/>
    <hyperlink ref="Z1" r:id="rId20" display="http://www.11manager.com/ClubHouse.php?page=equipe_effectif.php&amp;name=e2a921a33c4b4a4450deb681e4d3528a"/>
    <hyperlink ref="C43" r:id="rId21" display="http://www.11manager.com/ClubHouse.php?page=equipe_effectif.php&amp;name=e2a921a33c4b4a4450deb681e4d3528a"/>
    <hyperlink ref="D43" r:id="rId22" display="http://www.11manager.com/ClubHouse.php?page=equipe_effectif.php&amp;name=e2a921a33c4b4a4450deb681e4d3528a"/>
    <hyperlink ref="I43" r:id="rId23" display="http://www.11manager.com/ClubHouse.php?page=equipe_effectif.php&amp;name=e2a921a33c4b4a4450deb681e4d3528a"/>
    <hyperlink ref="J43" r:id="rId24" display="http://www.11manager.com/ClubHouse.php?page=equipe_effectif.php&amp;name=e2a921a33c4b4a4450deb681e4d3528a"/>
    <hyperlink ref="K43" r:id="rId25" display="http://www.11manager.com/ClubHouse.php?page=equipe_effectif.php&amp;name=e2a921a33c4b4a4450deb681e4d3528a"/>
    <hyperlink ref="L43" r:id="rId26" display="http://www.11manager.com/ClubHouse.php?page=equipe_effectif.php&amp;name=e2a921a33c4b4a4450deb681e4d3528a"/>
    <hyperlink ref="M43" r:id="rId27" display="http://www.11manager.com/ClubHouse.php?page=equipe_effectif.php&amp;name=e2a921a33c4b4a4450deb681e4d3528a"/>
    <hyperlink ref="N43" r:id="rId28" display="http://www.11manager.com/ClubHouse.php?page=equipe_effectif.php&amp;name=e2a921a33c4b4a4450deb681e4d3528a"/>
    <hyperlink ref="O43" r:id="rId29" display="http://www.11manager.com/ClubHouse.php?page=equipe_effectif.php&amp;name=e2a921a33c4b4a4450deb681e4d3528a"/>
    <hyperlink ref="P43" r:id="rId30" display="http://www.11manager.com/ClubHouse.php?page=equipe_effectif.php&amp;name=e2a921a33c4b4a4450deb681e4d3528a"/>
    <hyperlink ref="Q43" r:id="rId31" display="http://www.11manager.com/ClubHouse.php?page=equipe_effectif.php&amp;name=e2a921a33c4b4a4450deb681e4d3528a"/>
    <hyperlink ref="R43" r:id="rId32" display="http://www.11manager.com/ClubHouse.php?page=equipe_effectif.php&amp;name=e2a921a33c4b4a4450deb681e4d3528a"/>
    <hyperlink ref="S43" r:id="rId33" display="http://www.11manager.com/ClubHouse.php?page=equipe_effectif.php&amp;name=e2a921a33c4b4a4450deb681e4d3528a"/>
    <hyperlink ref="T43" r:id="rId34" display="http://www.11manager.com/ClubHouse.php?page=equipe_effectif.php&amp;name=e2a921a33c4b4a4450deb681e4d3528a"/>
    <hyperlink ref="U43" r:id="rId35" display="http://www.11manager.com/ClubHouse.php?page=equipe_effectif.php&amp;name=e2a921a33c4b4a4450deb681e4d3528a"/>
    <hyperlink ref="V43" r:id="rId36" display="http://www.11manager.com/ClubHouse.php?page=equipe_effectif.php&amp;name=e2a921a33c4b4a4450deb681e4d3528a"/>
    <hyperlink ref="W43" r:id="rId37" display="http://www.11manager.com/ClubHouse.php?page=equipe_effectif.php&amp;name=e2a921a33c4b4a4450deb681e4d3528a"/>
    <hyperlink ref="X43" r:id="rId38" display="http://www.11manager.com/ClubHouse.php?page=equipe_effectif.php&amp;name=e2a921a33c4b4a4450deb681e4d3528a"/>
    <hyperlink ref="Y43" r:id="rId39" display="http://www.11manager.com/ClubHouse.php?page=equipe_effectif.php&amp;name=e2a921a33c4b4a4450deb681e4d3528a"/>
    <hyperlink ref="Z43" r:id="rId40" display="http://www.11manager.com/ClubHouse.php?page=equipe_effectif.php&amp;name=e2a921a33c4b4a4450deb681e4d3528a"/>
  </hyperlinks>
  <printOptions/>
  <pageMargins left="0.787401575" right="0.787401575" top="0.984251969" bottom="0.984251969" header="0.4921259845" footer="0.4921259845"/>
  <pageSetup horizontalDpi="600" verticalDpi="600" orientation="portrait" paperSize="9" r:id="rId43"/>
  <legacyDrawing r:id="rId4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Y2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10.140625" style="0" bestFit="1" customWidth="1"/>
    <col min="2" max="2" width="16.7109375" style="0" bestFit="1" customWidth="1"/>
    <col min="3" max="3" width="8.7109375" style="0" customWidth="1"/>
    <col min="4" max="4" width="4.28125" style="0" bestFit="1" customWidth="1"/>
    <col min="5" max="5" width="6.140625" style="0" bestFit="1" customWidth="1"/>
    <col min="6" max="6" width="5.57421875" style="0" bestFit="1" customWidth="1"/>
    <col min="7" max="7" width="6.28125" style="0" bestFit="1" customWidth="1"/>
    <col min="8" max="24" width="6.57421875" style="0" customWidth="1"/>
    <col min="25" max="25" width="9.140625" style="0" customWidth="1"/>
  </cols>
  <sheetData>
    <row r="1" ht="36.75" customHeight="1">
      <c r="A1" s="236">
        <f ca="1">COUNTIF(A2:A2,TODAY())</f>
        <v>1</v>
      </c>
    </row>
    <row r="2" spans="1:25" ht="25.5">
      <c r="A2" s="79">
        <f ca="1">TODAY()</f>
        <v>40774</v>
      </c>
      <c r="B2" s="16" t="s">
        <v>21</v>
      </c>
      <c r="C2" s="17" t="s">
        <v>3</v>
      </c>
      <c r="D2" s="17" t="s">
        <v>0</v>
      </c>
      <c r="E2" s="18" t="s">
        <v>22</v>
      </c>
      <c r="F2" s="18" t="s">
        <v>23</v>
      </c>
      <c r="G2" s="17" t="s">
        <v>24</v>
      </c>
      <c r="H2" s="17" t="s">
        <v>67</v>
      </c>
      <c r="I2" s="17" t="s">
        <v>68</v>
      </c>
      <c r="J2" s="17" t="s">
        <v>55</v>
      </c>
      <c r="K2" s="17" t="s">
        <v>69</v>
      </c>
      <c r="L2" s="17" t="s">
        <v>26</v>
      </c>
      <c r="M2" s="20" t="s">
        <v>91</v>
      </c>
      <c r="N2" s="17" t="s">
        <v>57</v>
      </c>
      <c r="O2" s="17" t="s">
        <v>30</v>
      </c>
      <c r="P2" s="17" t="s">
        <v>60</v>
      </c>
      <c r="Q2" s="17" t="s">
        <v>70</v>
      </c>
      <c r="R2" s="17" t="s">
        <v>34</v>
      </c>
      <c r="S2" s="17" t="s">
        <v>35</v>
      </c>
      <c r="T2" s="17" t="s">
        <v>71</v>
      </c>
      <c r="U2" s="17" t="s">
        <v>72</v>
      </c>
      <c r="V2" s="17" t="s">
        <v>61</v>
      </c>
      <c r="W2" s="17" t="s">
        <v>73</v>
      </c>
      <c r="X2" s="17" t="s">
        <v>38</v>
      </c>
      <c r="Y2" t="str">
        <f>CHAR(71)</f>
        <v>G</v>
      </c>
    </row>
  </sheetData>
  <sheetProtection/>
  <hyperlinks>
    <hyperlink ref="C2" r:id="rId1" display="http://www.11manager.com/ClubHouse.php?page=equipe_effectif.php&amp;name=e2a921a33c4b4a4450deb681e4d3528a"/>
    <hyperlink ref="D2" r:id="rId2" display="http://www.11manager.com/ClubHouse.php?page=equipe_effectif.php&amp;name=e2a921a33c4b4a4450deb681e4d3528a"/>
    <hyperlink ref="G2" r:id="rId3" display="http://www.11manager.com/ClubHouse.php?page=equipe_effectif.php&amp;name=e2a921a33c4b4a4450deb681e4d3528a"/>
    <hyperlink ref="H2" r:id="rId4" display="http://www.11manager.com/ClubHouse.php?page=equipe_effectif.php&amp;name=e2a921a33c4b4a4450deb681e4d3528a"/>
    <hyperlink ref="I2" r:id="rId5" display="http://www.11manager.com/ClubHouse.php?page=equipe_effectif.php&amp;name=e2a921a33c4b4a4450deb681e4d3528a"/>
    <hyperlink ref="J2" r:id="rId6" display="http://www.11manager.com/ClubHouse.php?page=equipe_effectif.php&amp;name=e2a921a33c4b4a4450deb681e4d3528a"/>
    <hyperlink ref="K2" r:id="rId7" display="http://www.11manager.com/ClubHouse.php?page=equipe_effectif.php&amp;name=e2a921a33c4b4a4450deb681e4d3528a"/>
    <hyperlink ref="L2" r:id="rId8" display="http://www.11manager.com/ClubHouse.php?page=equipe_effectif.php&amp;name=e2a921a33c4b4a4450deb681e4d3528a"/>
    <hyperlink ref="M2" r:id="rId9" display="http://www.11manager.com/ClubHouse.php?page=equipe_effectif.php&amp;name=e2a921a33c4b4a4450deb681e4d3528a"/>
    <hyperlink ref="N2" r:id="rId10" display="http://www.11manager.com/ClubHouse.php?page=equipe_effectif.php&amp;name=e2a921a33c4b4a4450deb681e4d3528a"/>
    <hyperlink ref="O2" r:id="rId11" display="http://www.11manager.com/ClubHouse.php?page=equipe_effectif.php&amp;name=e2a921a33c4b4a4450deb681e4d3528a"/>
    <hyperlink ref="P2" r:id="rId12" display="http://www.11manager.com/ClubHouse.php?page=equipe_effectif.php&amp;name=e2a921a33c4b4a4450deb681e4d3528a"/>
    <hyperlink ref="Q2" r:id="rId13" display="http://www.11manager.com/ClubHouse.php?page=equipe_effectif.php&amp;name=e2a921a33c4b4a4450deb681e4d3528a"/>
    <hyperlink ref="R2" r:id="rId14" display="http://www.11manager.com/ClubHouse.php?page=equipe_effectif.php&amp;name=e2a921a33c4b4a4450deb681e4d3528a"/>
    <hyperlink ref="S2" r:id="rId15" display="http://www.11manager.com/ClubHouse.php?page=equipe_effectif.php&amp;name=e2a921a33c4b4a4450deb681e4d3528a"/>
    <hyperlink ref="T2" r:id="rId16" display="http://www.11manager.com/ClubHouse.php?page=equipe_effectif.php&amp;name=e2a921a33c4b4a4450deb681e4d3528a"/>
    <hyperlink ref="U2" r:id="rId17" display="http://www.11manager.com/ClubHouse.php?page=equipe_effectif.php&amp;name=e2a921a33c4b4a4450deb681e4d3528a"/>
    <hyperlink ref="V2" r:id="rId18" display="http://www.11manager.com/ClubHouse.php?page=equipe_effectif.php&amp;name=e2a921a33c4b4a4450deb681e4d3528a"/>
    <hyperlink ref="W2" r:id="rId19" display="http://www.11manager.com/ClubHouse.php?page=equipe_effectif.php&amp;name=e2a921a33c4b4a4450deb681e4d3528a"/>
    <hyperlink ref="X2" r:id="rId20" display="http://www.11manager.com/ClubHouse.php?page=equipe_effectif.php&amp;name=e2a921a33c4b4a4450deb681e4d3528a"/>
  </hyperlinks>
  <printOptions/>
  <pageMargins left="0.787401575" right="0.787401575" top="0.984251969" bottom="0.984251969" header="0.4921259845" footer="0.4921259845"/>
  <pageSetup horizontalDpi="600" verticalDpi="600" orientation="portrait" paperSize="9" r:id="rId23"/>
  <legacyDrawing r:id="rId2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I52"/>
  <sheetViews>
    <sheetView zoomScalePageLayoutView="0" workbookViewId="0" topLeftCell="A1">
      <pane xSplit="10" ySplit="1" topLeftCell="Y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C9" sqref="AC9"/>
    </sheetView>
  </sheetViews>
  <sheetFormatPr defaultColWidth="11.421875" defaultRowHeight="12.75"/>
  <cols>
    <col min="2" max="2" width="18.140625" style="0" customWidth="1"/>
    <col min="3" max="3" width="5.8515625" style="0" bestFit="1" customWidth="1"/>
    <col min="4" max="4" width="7.28125" style="53" customWidth="1"/>
    <col min="5" max="5" width="4.28125" style="0" customWidth="1"/>
    <col min="6" max="6" width="5.140625" style="0" bestFit="1" customWidth="1"/>
    <col min="7" max="7" width="6.57421875" style="0" bestFit="1" customWidth="1"/>
    <col min="8" max="8" width="7.28125" style="0" customWidth="1"/>
    <col min="9" max="9" width="9.8515625" style="0" customWidth="1"/>
    <col min="10" max="10" width="7.8515625" style="0" customWidth="1"/>
    <col min="11" max="11" width="6.57421875" style="0" customWidth="1"/>
    <col min="12" max="27" width="5.7109375" style="0" customWidth="1"/>
    <col min="28" max="28" width="6.140625" style="0" bestFit="1" customWidth="1"/>
    <col min="29" max="36" width="8.7109375" style="0" customWidth="1"/>
  </cols>
  <sheetData>
    <row r="1" spans="1:35" s="19" customFormat="1" ht="27" customHeight="1">
      <c r="A1" s="236">
        <f>AC35</f>
        <v>23</v>
      </c>
      <c r="B1" s="16" t="s">
        <v>21</v>
      </c>
      <c r="C1" s="18" t="s">
        <v>3</v>
      </c>
      <c r="D1" s="18" t="s">
        <v>0</v>
      </c>
      <c r="E1" s="18" t="s">
        <v>102</v>
      </c>
      <c r="F1" s="18" t="s">
        <v>79</v>
      </c>
      <c r="G1" s="18" t="s">
        <v>22</v>
      </c>
      <c r="H1" s="18" t="s">
        <v>23</v>
      </c>
      <c r="I1" s="353" t="s">
        <v>242</v>
      </c>
      <c r="J1" s="18" t="s">
        <v>24</v>
      </c>
      <c r="K1" s="18" t="s">
        <v>55</v>
      </c>
      <c r="L1" s="18" t="s">
        <v>35</v>
      </c>
      <c r="M1" s="18" t="s">
        <v>56</v>
      </c>
      <c r="N1" s="18" t="s">
        <v>36</v>
      </c>
      <c r="O1" s="18" t="s">
        <v>29</v>
      </c>
      <c r="P1" s="18" t="s">
        <v>57</v>
      </c>
      <c r="Q1" s="18" t="s">
        <v>63</v>
      </c>
      <c r="R1" s="18" t="s">
        <v>58</v>
      </c>
      <c r="S1" s="18" t="s">
        <v>59</v>
      </c>
      <c r="T1" s="18" t="s">
        <v>60</v>
      </c>
      <c r="U1" s="18" t="s">
        <v>34</v>
      </c>
      <c r="V1" s="18" t="s">
        <v>61</v>
      </c>
      <c r="W1" s="18" t="s">
        <v>30</v>
      </c>
      <c r="X1" s="18" t="s">
        <v>38</v>
      </c>
      <c r="Y1" s="18" t="s">
        <v>62</v>
      </c>
      <c r="Z1" s="107" t="s">
        <v>103</v>
      </c>
      <c r="AA1" s="107" t="s">
        <v>104</v>
      </c>
      <c r="AB1" s="107" t="s">
        <v>105</v>
      </c>
      <c r="AC1" s="377">
        <v>40787</v>
      </c>
      <c r="AD1" s="378">
        <v>40909</v>
      </c>
      <c r="AE1" s="379">
        <v>41030</v>
      </c>
      <c r="AF1" s="379">
        <v>41153</v>
      </c>
      <c r="AG1" s="379">
        <v>41275</v>
      </c>
      <c r="AH1" s="477" t="s">
        <v>215</v>
      </c>
      <c r="AI1" s="380" t="s">
        <v>2</v>
      </c>
    </row>
    <row r="2" spans="1:35" ht="12.75">
      <c r="A2" s="168">
        <v>40885</v>
      </c>
      <c r="B2" s="86" t="s">
        <v>111</v>
      </c>
      <c r="C2" s="11">
        <v>1</v>
      </c>
      <c r="D2" s="82">
        <v>23</v>
      </c>
      <c r="E2" s="11" t="str">
        <f aca="true" t="shared" si="0" ref="E2:E24">IF(D2&lt;22,"E","S")</f>
        <v>S</v>
      </c>
      <c r="F2" s="32" t="str">
        <f aca="true" t="shared" si="1" ref="F2:F24">IF(C2=1,"MEN","")&amp;IF(C2=2,"ARR","")&amp;IF(C2=5,"PIV","")&amp;IF(C2=3,"AIL","")&amp;IF(C2=4,"AIL","")</f>
        <v>MEN</v>
      </c>
      <c r="G2" s="11">
        <v>61.97</v>
      </c>
      <c r="H2" s="12">
        <v>92.81</v>
      </c>
      <c r="I2" s="12" t="s">
        <v>392</v>
      </c>
      <c r="J2" s="33">
        <v>0.56</v>
      </c>
      <c r="K2" s="275">
        <v>45.15</v>
      </c>
      <c r="L2" s="11">
        <v>92.42</v>
      </c>
      <c r="M2" s="11">
        <v>89.78</v>
      </c>
      <c r="N2" s="11">
        <v>95.25</v>
      </c>
      <c r="O2" s="11">
        <v>57.81</v>
      </c>
      <c r="P2" s="11">
        <v>81.23</v>
      </c>
      <c r="Q2" s="11">
        <v>93.04</v>
      </c>
      <c r="R2" s="11">
        <v>103.15</v>
      </c>
      <c r="S2" s="11">
        <v>8.78</v>
      </c>
      <c r="T2" s="11">
        <v>41.12</v>
      </c>
      <c r="U2" s="11">
        <v>31.56</v>
      </c>
      <c r="V2" s="11">
        <v>68.75</v>
      </c>
      <c r="W2" s="11">
        <v>82.99</v>
      </c>
      <c r="X2" s="11">
        <v>1</v>
      </c>
      <c r="Y2" s="12">
        <v>8.21</v>
      </c>
      <c r="Z2" s="109"/>
      <c r="AA2" s="108"/>
      <c r="AB2" s="106" t="s">
        <v>190</v>
      </c>
      <c r="AC2" s="459" t="s">
        <v>238</v>
      </c>
      <c r="AD2" s="81"/>
      <c r="AE2" s="81"/>
      <c r="AF2" s="81"/>
      <c r="AG2" s="81"/>
      <c r="AH2" s="480" t="s">
        <v>207</v>
      </c>
      <c r="AI2" s="381">
        <v>6500</v>
      </c>
    </row>
    <row r="3" spans="1:35" ht="12.75">
      <c r="A3" s="168">
        <v>40885</v>
      </c>
      <c r="B3" s="86" t="s">
        <v>109</v>
      </c>
      <c r="C3" s="11">
        <v>1</v>
      </c>
      <c r="D3" s="82">
        <v>28</v>
      </c>
      <c r="E3" s="11" t="str">
        <f t="shared" si="0"/>
        <v>S</v>
      </c>
      <c r="F3" s="32" t="str">
        <f t="shared" si="1"/>
        <v>MEN</v>
      </c>
      <c r="G3" s="11">
        <v>49.11</v>
      </c>
      <c r="H3" s="12">
        <v>100</v>
      </c>
      <c r="I3" s="12" t="s">
        <v>307</v>
      </c>
      <c r="J3" s="33">
        <v>0.81</v>
      </c>
      <c r="K3" s="275">
        <v>36.43</v>
      </c>
      <c r="L3" s="11">
        <v>89.27</v>
      </c>
      <c r="M3" s="15">
        <v>84.18</v>
      </c>
      <c r="N3" s="11">
        <v>78.61</v>
      </c>
      <c r="O3" s="11">
        <v>20.02</v>
      </c>
      <c r="P3" s="11">
        <v>70.8</v>
      </c>
      <c r="Q3" s="11">
        <v>88.39</v>
      </c>
      <c r="R3" s="11">
        <v>98.9</v>
      </c>
      <c r="S3" s="11">
        <v>8.78</v>
      </c>
      <c r="T3" s="11">
        <v>44.63</v>
      </c>
      <c r="U3" s="11">
        <v>30.04</v>
      </c>
      <c r="V3" s="11">
        <v>32.48</v>
      </c>
      <c r="W3" s="11">
        <v>5.14</v>
      </c>
      <c r="X3" s="11">
        <v>1</v>
      </c>
      <c r="Y3" s="12">
        <v>72.62</v>
      </c>
      <c r="Z3" s="109"/>
      <c r="AA3" s="108"/>
      <c r="AB3" s="106" t="s">
        <v>189</v>
      </c>
      <c r="AC3" s="457" t="s">
        <v>265</v>
      </c>
      <c r="AD3" s="81"/>
      <c r="AE3" s="81"/>
      <c r="AF3" s="81"/>
      <c r="AG3" s="81"/>
      <c r="AH3" s="478" t="s">
        <v>208</v>
      </c>
      <c r="AI3" s="381">
        <v>3696</v>
      </c>
    </row>
    <row r="4" spans="1:35" ht="12.75">
      <c r="A4" s="168">
        <v>40885</v>
      </c>
      <c r="B4" s="86" t="s">
        <v>116</v>
      </c>
      <c r="C4" s="11">
        <v>1</v>
      </c>
      <c r="D4" s="82">
        <v>21</v>
      </c>
      <c r="E4" s="11" t="str">
        <f t="shared" si="0"/>
        <v>E</v>
      </c>
      <c r="F4" s="32" t="str">
        <f t="shared" si="1"/>
        <v>MEN</v>
      </c>
      <c r="G4" s="11">
        <v>47.89</v>
      </c>
      <c r="H4" s="12">
        <v>100</v>
      </c>
      <c r="I4" s="12" t="s">
        <v>394</v>
      </c>
      <c r="J4" s="33">
        <v>0.62</v>
      </c>
      <c r="K4" s="275">
        <v>23.05</v>
      </c>
      <c r="L4" s="11">
        <v>70.75</v>
      </c>
      <c r="M4" s="11">
        <v>74.01</v>
      </c>
      <c r="N4" s="11">
        <v>73.68</v>
      </c>
      <c r="O4" s="11">
        <v>25.9</v>
      </c>
      <c r="P4" s="11">
        <v>73.5</v>
      </c>
      <c r="Q4" s="11">
        <v>87.23</v>
      </c>
      <c r="R4" s="11">
        <v>98.95</v>
      </c>
      <c r="S4" s="11">
        <v>7.78</v>
      </c>
      <c r="T4" s="11">
        <v>28.72</v>
      </c>
      <c r="U4" s="11">
        <v>26.18</v>
      </c>
      <c r="V4" s="11">
        <v>43.38</v>
      </c>
      <c r="W4" s="11">
        <v>47.32</v>
      </c>
      <c r="X4" s="11">
        <v>1</v>
      </c>
      <c r="Y4" s="12">
        <v>6.72</v>
      </c>
      <c r="Z4" s="109"/>
      <c r="AA4" s="108">
        <v>1</v>
      </c>
      <c r="AB4" s="106" t="s">
        <v>191</v>
      </c>
      <c r="AC4" s="456" t="s">
        <v>239</v>
      </c>
      <c r="AD4" s="81"/>
      <c r="AE4" s="81"/>
      <c r="AF4" s="81"/>
      <c r="AG4" s="81"/>
      <c r="AH4" s="479" t="s">
        <v>203</v>
      </c>
      <c r="AI4" s="381">
        <v>3046</v>
      </c>
    </row>
    <row r="5" spans="1:35" ht="12.75">
      <c r="A5" s="247">
        <v>40885</v>
      </c>
      <c r="B5" s="356" t="s">
        <v>119</v>
      </c>
      <c r="C5" s="11">
        <v>1</v>
      </c>
      <c r="D5" s="82">
        <v>21</v>
      </c>
      <c r="E5" s="11" t="str">
        <f t="shared" si="0"/>
        <v>E</v>
      </c>
      <c r="F5" s="32" t="str">
        <f t="shared" si="1"/>
        <v>MEN</v>
      </c>
      <c r="G5" s="11">
        <v>38.14</v>
      </c>
      <c r="H5" s="12">
        <v>100</v>
      </c>
      <c r="I5" s="12" t="s">
        <v>307</v>
      </c>
      <c r="J5" s="33">
        <v>0.85</v>
      </c>
      <c r="K5" s="275">
        <v>10.56</v>
      </c>
      <c r="L5" s="11">
        <v>58.81</v>
      </c>
      <c r="M5" s="11">
        <v>47.46</v>
      </c>
      <c r="N5" s="11">
        <v>50.02</v>
      </c>
      <c r="O5" s="11">
        <v>13.74</v>
      </c>
      <c r="P5" s="11">
        <v>49.67</v>
      </c>
      <c r="Q5" s="11">
        <v>55.02</v>
      </c>
      <c r="R5" s="11">
        <v>74.51</v>
      </c>
      <c r="S5" s="11">
        <v>7.78</v>
      </c>
      <c r="T5" s="11">
        <v>28.5</v>
      </c>
      <c r="U5" s="11">
        <v>25.48</v>
      </c>
      <c r="V5" s="11">
        <v>42.06</v>
      </c>
      <c r="W5" s="11">
        <v>39.96</v>
      </c>
      <c r="X5" s="11">
        <v>1</v>
      </c>
      <c r="Y5" s="12">
        <v>5.72</v>
      </c>
      <c r="Z5" s="110"/>
      <c r="AA5" s="106">
        <v>6</v>
      </c>
      <c r="AB5" s="106" t="s">
        <v>191</v>
      </c>
      <c r="AC5" s="454" t="s">
        <v>293</v>
      </c>
      <c r="AD5" s="81"/>
      <c r="AE5" s="81"/>
      <c r="AF5" s="81"/>
      <c r="AG5" s="81"/>
      <c r="AH5" s="481" t="s">
        <v>204</v>
      </c>
      <c r="AI5" s="381">
        <v>1653</v>
      </c>
    </row>
    <row r="6" spans="1:35" ht="12.75">
      <c r="A6" s="279">
        <v>40885</v>
      </c>
      <c r="B6" s="81" t="s">
        <v>211</v>
      </c>
      <c r="C6" s="357">
        <v>2</v>
      </c>
      <c r="D6" s="358">
        <v>25</v>
      </c>
      <c r="E6" s="159" t="str">
        <f t="shared" si="0"/>
        <v>S</v>
      </c>
      <c r="F6" s="32" t="str">
        <f t="shared" si="1"/>
        <v>ARR</v>
      </c>
      <c r="G6" s="359">
        <v>76.42</v>
      </c>
      <c r="H6" s="360">
        <v>100</v>
      </c>
      <c r="I6" s="360" t="s">
        <v>392</v>
      </c>
      <c r="J6" s="33">
        <v>0.57</v>
      </c>
      <c r="K6" s="275">
        <v>100.42</v>
      </c>
      <c r="L6" s="194">
        <v>92.71</v>
      </c>
      <c r="M6" s="194">
        <v>100.48</v>
      </c>
      <c r="N6" s="194">
        <v>115.73</v>
      </c>
      <c r="O6" s="194">
        <v>105.88</v>
      </c>
      <c r="P6" s="194">
        <v>96.33</v>
      </c>
      <c r="Q6" s="194">
        <v>97.84</v>
      </c>
      <c r="R6" s="194">
        <v>114.09</v>
      </c>
      <c r="S6" s="194">
        <v>19</v>
      </c>
      <c r="T6" s="194">
        <v>35.99</v>
      </c>
      <c r="U6" s="194">
        <v>44.27</v>
      </c>
      <c r="V6" s="194">
        <v>87.5</v>
      </c>
      <c r="W6" s="194">
        <v>93.29</v>
      </c>
      <c r="X6" s="194">
        <v>1</v>
      </c>
      <c r="Y6" s="196">
        <v>7.51</v>
      </c>
      <c r="Z6" s="110"/>
      <c r="AA6" s="108"/>
      <c r="AB6" s="108" t="s">
        <v>190</v>
      </c>
      <c r="AC6" s="459" t="s">
        <v>238</v>
      </c>
      <c r="AD6" s="81"/>
      <c r="AE6" s="81"/>
      <c r="AF6" s="81"/>
      <c r="AG6" s="81"/>
      <c r="AH6" s="482" t="s">
        <v>205</v>
      </c>
      <c r="AI6" s="381">
        <v>10617</v>
      </c>
    </row>
    <row r="7" spans="1:35" ht="12.75">
      <c r="A7" s="283">
        <v>40885</v>
      </c>
      <c r="B7" s="81" t="s">
        <v>210</v>
      </c>
      <c r="C7" s="284">
        <v>2</v>
      </c>
      <c r="D7" s="99">
        <v>23</v>
      </c>
      <c r="E7" s="99" t="str">
        <f t="shared" si="0"/>
        <v>S</v>
      </c>
      <c r="F7" s="32" t="str">
        <f t="shared" si="1"/>
        <v>ARR</v>
      </c>
      <c r="G7" s="99">
        <v>61.72</v>
      </c>
      <c r="H7" s="199">
        <v>80.86</v>
      </c>
      <c r="I7" s="199" t="s">
        <v>307</v>
      </c>
      <c r="J7" s="33">
        <v>0.81</v>
      </c>
      <c r="K7" s="275">
        <v>66.87</v>
      </c>
      <c r="L7" s="11">
        <v>88.98</v>
      </c>
      <c r="M7" s="11">
        <v>78.32</v>
      </c>
      <c r="N7" s="11">
        <v>87.97</v>
      </c>
      <c r="O7" s="11">
        <v>72.63</v>
      </c>
      <c r="P7" s="11">
        <v>73.24</v>
      </c>
      <c r="Q7" s="11">
        <v>73.62</v>
      </c>
      <c r="R7" s="11">
        <v>92.03</v>
      </c>
      <c r="S7" s="11">
        <v>14.15</v>
      </c>
      <c r="T7" s="11">
        <v>22.93</v>
      </c>
      <c r="U7" s="11">
        <v>43.9</v>
      </c>
      <c r="V7" s="11">
        <v>77.27</v>
      </c>
      <c r="W7" s="11">
        <v>70.43</v>
      </c>
      <c r="X7" s="11">
        <v>1</v>
      </c>
      <c r="Y7" s="12">
        <v>19.23</v>
      </c>
      <c r="Z7" s="110"/>
      <c r="AA7" s="106">
        <v>2</v>
      </c>
      <c r="AB7" s="106" t="s">
        <v>189</v>
      </c>
      <c r="AC7" s="457" t="s">
        <v>265</v>
      </c>
      <c r="AD7" s="81"/>
      <c r="AE7" s="81"/>
      <c r="AF7" s="81"/>
      <c r="AG7" s="81"/>
      <c r="AH7" s="482" t="s">
        <v>205</v>
      </c>
      <c r="AI7" s="381">
        <v>6565</v>
      </c>
    </row>
    <row r="8" spans="1:35" ht="12.75">
      <c r="A8" s="285">
        <v>40885</v>
      </c>
      <c r="B8" s="139" t="s">
        <v>117</v>
      </c>
      <c r="C8" s="38">
        <v>2</v>
      </c>
      <c r="D8" s="82">
        <v>22</v>
      </c>
      <c r="E8" s="11" t="str">
        <f t="shared" si="0"/>
        <v>S</v>
      </c>
      <c r="F8" s="32" t="str">
        <f t="shared" si="1"/>
        <v>ARR</v>
      </c>
      <c r="G8" s="11">
        <v>56.05</v>
      </c>
      <c r="H8" s="12">
        <v>55.06</v>
      </c>
      <c r="I8" s="12" t="s">
        <v>307</v>
      </c>
      <c r="J8" s="33">
        <v>0.83</v>
      </c>
      <c r="K8" s="275">
        <v>73.45</v>
      </c>
      <c r="L8" s="11">
        <v>76.16</v>
      </c>
      <c r="M8" s="11">
        <v>77.93</v>
      </c>
      <c r="N8" s="11">
        <v>102.94</v>
      </c>
      <c r="O8" s="11">
        <v>88.69</v>
      </c>
      <c r="P8" s="11">
        <v>76.77</v>
      </c>
      <c r="Q8" s="11">
        <v>87.12</v>
      </c>
      <c r="R8" s="11">
        <v>98.75</v>
      </c>
      <c r="S8" s="11">
        <v>7.78</v>
      </c>
      <c r="T8" s="11">
        <v>22.48</v>
      </c>
      <c r="U8" s="11">
        <v>29.74</v>
      </c>
      <c r="V8" s="11">
        <v>47.02</v>
      </c>
      <c r="W8" s="11">
        <v>49.66</v>
      </c>
      <c r="X8" s="11">
        <v>1</v>
      </c>
      <c r="Y8" s="12">
        <v>8.84</v>
      </c>
      <c r="Z8" s="110"/>
      <c r="AA8" s="106">
        <v>7</v>
      </c>
      <c r="AB8" s="106" t="s">
        <v>189</v>
      </c>
      <c r="AC8" s="458" t="s">
        <v>312</v>
      </c>
      <c r="AD8" s="81"/>
      <c r="AE8" s="81"/>
      <c r="AF8" s="81"/>
      <c r="AG8" s="81"/>
      <c r="AH8" s="479" t="s">
        <v>203</v>
      </c>
      <c r="AI8" s="381">
        <v>5158</v>
      </c>
    </row>
    <row r="9" spans="1:35" ht="12.75">
      <c r="A9" s="283">
        <v>40885</v>
      </c>
      <c r="B9" s="139" t="s">
        <v>214</v>
      </c>
      <c r="C9" s="38">
        <v>2</v>
      </c>
      <c r="D9" s="82">
        <v>27</v>
      </c>
      <c r="E9" s="11" t="str">
        <f t="shared" si="0"/>
        <v>S</v>
      </c>
      <c r="F9" s="32" t="str">
        <f t="shared" si="1"/>
        <v>ARR</v>
      </c>
      <c r="G9" s="11">
        <v>28.19</v>
      </c>
      <c r="H9" s="12">
        <v>94.04</v>
      </c>
      <c r="I9" s="12" t="s">
        <v>307</v>
      </c>
      <c r="J9" s="33">
        <v>0.83</v>
      </c>
      <c r="K9" s="275">
        <v>27.21</v>
      </c>
      <c r="L9" s="11">
        <v>68.99</v>
      </c>
      <c r="M9" s="11">
        <v>32.42</v>
      </c>
      <c r="N9" s="11">
        <v>55.07</v>
      </c>
      <c r="O9" s="11">
        <v>41.37</v>
      </c>
      <c r="P9" s="11">
        <v>34.1</v>
      </c>
      <c r="Q9" s="11">
        <v>62.27</v>
      </c>
      <c r="R9" s="11">
        <v>64.85</v>
      </c>
      <c r="S9" s="11">
        <v>8.78</v>
      </c>
      <c r="T9" s="11">
        <v>4.71</v>
      </c>
      <c r="U9" s="11">
        <v>7.35</v>
      </c>
      <c r="V9" s="11">
        <v>14.75</v>
      </c>
      <c r="W9" s="11">
        <v>5.63</v>
      </c>
      <c r="X9" s="11">
        <v>1</v>
      </c>
      <c r="Y9" s="12">
        <v>11.61</v>
      </c>
      <c r="Z9" s="109"/>
      <c r="AA9" s="108"/>
      <c r="AB9" s="106"/>
      <c r="AC9" s="454" t="s">
        <v>293</v>
      </c>
      <c r="AD9" s="81"/>
      <c r="AE9" s="81"/>
      <c r="AF9" s="81"/>
      <c r="AG9" s="81"/>
      <c r="AH9" s="483" t="s">
        <v>201</v>
      </c>
      <c r="AI9" s="381">
        <v>0</v>
      </c>
    </row>
    <row r="10" spans="1:35" ht="12.75">
      <c r="A10" s="285">
        <v>40885</v>
      </c>
      <c r="B10" s="257" t="s">
        <v>308</v>
      </c>
      <c r="C10" s="38">
        <v>2</v>
      </c>
      <c r="D10" s="82">
        <v>18</v>
      </c>
      <c r="E10" s="11" t="str">
        <f t="shared" si="0"/>
        <v>E</v>
      </c>
      <c r="F10" s="32" t="str">
        <f t="shared" si="1"/>
        <v>ARR</v>
      </c>
      <c r="G10" s="11">
        <v>3.48</v>
      </c>
      <c r="H10" s="12">
        <v>7</v>
      </c>
      <c r="I10" s="12" t="s">
        <v>394</v>
      </c>
      <c r="J10" s="33">
        <v>0.36</v>
      </c>
      <c r="K10" s="275">
        <v>5.12</v>
      </c>
      <c r="L10" s="11">
        <v>3.88</v>
      </c>
      <c r="M10" s="11">
        <v>5.98</v>
      </c>
      <c r="N10" s="11">
        <v>5.98</v>
      </c>
      <c r="O10" s="11">
        <v>5.12</v>
      </c>
      <c r="P10" s="11">
        <v>5.98</v>
      </c>
      <c r="Q10" s="11">
        <v>5.98</v>
      </c>
      <c r="R10" s="11">
        <v>5.98</v>
      </c>
      <c r="S10" s="11">
        <v>1.2</v>
      </c>
      <c r="T10" s="11">
        <v>3.18</v>
      </c>
      <c r="U10" s="11">
        <v>1.84</v>
      </c>
      <c r="V10" s="11">
        <v>1.84</v>
      </c>
      <c r="W10" s="11">
        <v>2.18</v>
      </c>
      <c r="X10" s="11">
        <v>1</v>
      </c>
      <c r="Y10" s="12">
        <v>1.2</v>
      </c>
      <c r="Z10" s="109"/>
      <c r="AA10" s="108"/>
      <c r="AB10" s="106"/>
      <c r="AC10" s="456" t="s">
        <v>239</v>
      </c>
      <c r="AD10" s="81"/>
      <c r="AE10" s="81"/>
      <c r="AF10" s="81"/>
      <c r="AG10" s="81"/>
      <c r="AH10" s="479" t="s">
        <v>203</v>
      </c>
      <c r="AI10" s="381">
        <v>0</v>
      </c>
    </row>
    <row r="11" spans="1:35" ht="12.75">
      <c r="A11" s="285">
        <v>40885</v>
      </c>
      <c r="B11" s="257" t="s">
        <v>309</v>
      </c>
      <c r="C11" s="38">
        <v>2</v>
      </c>
      <c r="D11" s="82">
        <v>19</v>
      </c>
      <c r="E11" s="11" t="str">
        <f t="shared" si="0"/>
        <v>E</v>
      </c>
      <c r="F11" s="32" t="str">
        <f t="shared" si="1"/>
        <v>ARR</v>
      </c>
      <c r="G11" s="11">
        <v>1.78</v>
      </c>
      <c r="H11" s="12">
        <v>3</v>
      </c>
      <c r="I11" s="12" t="s">
        <v>307</v>
      </c>
      <c r="J11" s="33">
        <v>0.85</v>
      </c>
      <c r="K11" s="275">
        <v>1</v>
      </c>
      <c r="L11" s="11">
        <v>3.88</v>
      </c>
      <c r="M11" s="11">
        <v>1.84</v>
      </c>
      <c r="N11" s="11">
        <v>1.84</v>
      </c>
      <c r="O11" s="11">
        <v>1</v>
      </c>
      <c r="P11" s="11">
        <v>1.84</v>
      </c>
      <c r="Q11" s="11">
        <v>1.84</v>
      </c>
      <c r="R11" s="11">
        <v>1.84</v>
      </c>
      <c r="S11" s="11">
        <v>1.2</v>
      </c>
      <c r="T11" s="11">
        <v>3.18</v>
      </c>
      <c r="U11" s="11">
        <v>1.84</v>
      </c>
      <c r="V11" s="11">
        <v>1.84</v>
      </c>
      <c r="W11" s="11">
        <v>2.18</v>
      </c>
      <c r="X11" s="11">
        <v>1</v>
      </c>
      <c r="Y11" s="12">
        <v>1.2</v>
      </c>
      <c r="Z11" s="109"/>
      <c r="AA11" s="108"/>
      <c r="AB11" s="106"/>
      <c r="AC11" s="455" t="s">
        <v>240</v>
      </c>
      <c r="AD11" s="81"/>
      <c r="AE11" s="81"/>
      <c r="AF11" s="81"/>
      <c r="AG11" s="81"/>
      <c r="AH11" s="479" t="s">
        <v>203</v>
      </c>
      <c r="AI11" s="381">
        <v>0</v>
      </c>
    </row>
    <row r="12" spans="1:35" ht="12.75">
      <c r="A12" s="489">
        <v>40885</v>
      </c>
      <c r="B12" s="490" t="s">
        <v>212</v>
      </c>
      <c r="C12" s="159">
        <v>4</v>
      </c>
      <c r="D12" s="208">
        <v>26</v>
      </c>
      <c r="E12" s="159" t="str">
        <f t="shared" si="0"/>
        <v>S</v>
      </c>
      <c r="F12" s="32" t="str">
        <f t="shared" si="1"/>
        <v>AIL</v>
      </c>
      <c r="G12" s="159">
        <v>84.56</v>
      </c>
      <c r="H12" s="209">
        <v>100</v>
      </c>
      <c r="I12" s="209" t="s">
        <v>307</v>
      </c>
      <c r="J12" s="33">
        <v>0.64</v>
      </c>
      <c r="K12" s="275">
        <v>92.41</v>
      </c>
      <c r="L12" s="11">
        <v>94.43</v>
      </c>
      <c r="M12" s="11">
        <v>93.67</v>
      </c>
      <c r="N12" s="11">
        <v>103.56</v>
      </c>
      <c r="O12" s="11">
        <v>88.76</v>
      </c>
      <c r="P12" s="11">
        <v>80.05</v>
      </c>
      <c r="Q12" s="11">
        <v>97.07</v>
      </c>
      <c r="R12" s="11">
        <v>112.62</v>
      </c>
      <c r="S12" s="11">
        <v>92.33</v>
      </c>
      <c r="T12" s="11">
        <v>41.54</v>
      </c>
      <c r="U12" s="11">
        <v>37.76</v>
      </c>
      <c r="V12" s="11">
        <v>90.26</v>
      </c>
      <c r="W12" s="11">
        <v>92.44</v>
      </c>
      <c r="X12" s="11">
        <v>1</v>
      </c>
      <c r="Y12" s="12">
        <v>83.41</v>
      </c>
      <c r="Z12" s="109"/>
      <c r="AA12" s="108"/>
      <c r="AB12" s="106" t="s">
        <v>190</v>
      </c>
      <c r="AC12" s="459" t="s">
        <v>238</v>
      </c>
      <c r="AD12" s="81"/>
      <c r="AE12" s="81"/>
      <c r="AF12" s="81"/>
      <c r="AG12" s="81"/>
      <c r="AH12" s="484" t="s">
        <v>209</v>
      </c>
      <c r="AI12" s="381">
        <v>13496</v>
      </c>
    </row>
    <row r="13" spans="1:35" ht="12.75">
      <c r="A13" s="280">
        <v>40885</v>
      </c>
      <c r="B13" s="81" t="s">
        <v>113</v>
      </c>
      <c r="C13" s="284">
        <v>3</v>
      </c>
      <c r="D13" s="198">
        <v>24</v>
      </c>
      <c r="E13" s="99" t="str">
        <f t="shared" si="0"/>
        <v>S</v>
      </c>
      <c r="F13" s="32" t="str">
        <f t="shared" si="1"/>
        <v>AIL</v>
      </c>
      <c r="G13" s="99">
        <v>79.32</v>
      </c>
      <c r="H13" s="199">
        <v>100</v>
      </c>
      <c r="I13" s="199" t="s">
        <v>307</v>
      </c>
      <c r="J13" s="33">
        <v>0.63</v>
      </c>
      <c r="K13" s="275">
        <v>86.84</v>
      </c>
      <c r="L13" s="11">
        <v>92.32</v>
      </c>
      <c r="M13" s="11">
        <v>97.67</v>
      </c>
      <c r="N13" s="11">
        <v>110.85</v>
      </c>
      <c r="O13" s="11">
        <v>88.69</v>
      </c>
      <c r="P13" s="11">
        <v>94.23</v>
      </c>
      <c r="Q13" s="11">
        <v>92.16</v>
      </c>
      <c r="R13" s="11">
        <v>115.22</v>
      </c>
      <c r="S13" s="11">
        <v>28.72</v>
      </c>
      <c r="T13" s="11">
        <v>51.12</v>
      </c>
      <c r="U13" s="11">
        <v>45.35</v>
      </c>
      <c r="V13" s="11">
        <v>80.04</v>
      </c>
      <c r="W13" s="11">
        <v>90.2</v>
      </c>
      <c r="X13" s="11">
        <v>1</v>
      </c>
      <c r="Y13" s="12">
        <v>52.09</v>
      </c>
      <c r="Z13" s="109"/>
      <c r="AA13" s="108"/>
      <c r="AB13" s="106" t="s">
        <v>190</v>
      </c>
      <c r="AC13" s="459" t="s">
        <v>238</v>
      </c>
      <c r="AD13" s="81"/>
      <c r="AE13" s="81"/>
      <c r="AF13" s="81"/>
      <c r="AG13" s="81"/>
      <c r="AH13" s="484" t="s">
        <v>209</v>
      </c>
      <c r="AI13" s="381">
        <v>11464</v>
      </c>
    </row>
    <row r="14" spans="1:35" ht="12.75">
      <c r="A14" s="281">
        <v>40885</v>
      </c>
      <c r="B14" s="31" t="s">
        <v>134</v>
      </c>
      <c r="C14" s="38">
        <v>4</v>
      </c>
      <c r="D14" s="82">
        <v>22</v>
      </c>
      <c r="E14" s="11" t="str">
        <f t="shared" si="0"/>
        <v>S</v>
      </c>
      <c r="F14" s="32" t="str">
        <f t="shared" si="1"/>
        <v>AIL</v>
      </c>
      <c r="G14" s="11">
        <v>67.02</v>
      </c>
      <c r="H14" s="12">
        <v>53.55</v>
      </c>
      <c r="I14" s="12" t="s">
        <v>393</v>
      </c>
      <c r="J14" s="33">
        <v>0.73</v>
      </c>
      <c r="K14" s="275">
        <v>86.53</v>
      </c>
      <c r="L14" s="11">
        <v>94.53</v>
      </c>
      <c r="M14" s="11">
        <v>80.95</v>
      </c>
      <c r="N14" s="11">
        <v>99.92</v>
      </c>
      <c r="O14" s="11">
        <v>91.34</v>
      </c>
      <c r="P14" s="11">
        <v>77.33</v>
      </c>
      <c r="Q14" s="11">
        <v>79.92</v>
      </c>
      <c r="R14" s="11">
        <v>100.99</v>
      </c>
      <c r="S14" s="11">
        <v>10.83</v>
      </c>
      <c r="T14" s="11">
        <v>34.8</v>
      </c>
      <c r="U14" s="11">
        <v>29.52</v>
      </c>
      <c r="V14" s="11">
        <v>79.55</v>
      </c>
      <c r="W14" s="11">
        <v>81.22</v>
      </c>
      <c r="X14" s="11">
        <v>1</v>
      </c>
      <c r="Y14" s="12">
        <v>11.71</v>
      </c>
      <c r="Z14" s="110"/>
      <c r="AA14" s="108">
        <v>4</v>
      </c>
      <c r="AB14" s="108" t="s">
        <v>191</v>
      </c>
      <c r="AC14" s="458" t="s">
        <v>312</v>
      </c>
      <c r="AD14" s="81"/>
      <c r="AE14" s="81"/>
      <c r="AF14" s="81"/>
      <c r="AG14" s="81"/>
      <c r="AH14" s="485" t="s">
        <v>202</v>
      </c>
      <c r="AI14" s="381">
        <v>7961</v>
      </c>
    </row>
    <row r="15" spans="1:35" ht="12.75">
      <c r="A15" s="281">
        <v>40885</v>
      </c>
      <c r="B15" s="139" t="s">
        <v>115</v>
      </c>
      <c r="C15" s="38">
        <v>3</v>
      </c>
      <c r="D15" s="82">
        <v>22</v>
      </c>
      <c r="E15" s="11" t="str">
        <f t="shared" si="0"/>
        <v>S</v>
      </c>
      <c r="F15" s="32" t="str">
        <f t="shared" si="1"/>
        <v>AIL</v>
      </c>
      <c r="G15" s="11">
        <v>64.24</v>
      </c>
      <c r="H15" s="12">
        <v>57.6</v>
      </c>
      <c r="I15" s="12" t="s">
        <v>393</v>
      </c>
      <c r="J15" s="33">
        <v>0.71</v>
      </c>
      <c r="K15" s="275">
        <v>97.44</v>
      </c>
      <c r="L15" s="11">
        <v>86.08</v>
      </c>
      <c r="M15" s="11">
        <v>99.01</v>
      </c>
      <c r="N15" s="11">
        <v>106.19</v>
      </c>
      <c r="O15" s="11">
        <v>98.44</v>
      </c>
      <c r="P15" s="11">
        <v>93.78</v>
      </c>
      <c r="Q15" s="11">
        <v>91.36</v>
      </c>
      <c r="R15" s="11">
        <v>113.86</v>
      </c>
      <c r="S15" s="11">
        <v>8.95</v>
      </c>
      <c r="T15" s="11">
        <v>24</v>
      </c>
      <c r="U15" s="11">
        <v>19.7</v>
      </c>
      <c r="V15" s="11">
        <v>53.74</v>
      </c>
      <c r="W15" s="11">
        <v>54.68</v>
      </c>
      <c r="X15" s="11">
        <v>1</v>
      </c>
      <c r="Y15" s="12">
        <v>14.18</v>
      </c>
      <c r="Z15" s="110"/>
      <c r="AA15" s="106">
        <v>3</v>
      </c>
      <c r="AB15" s="106" t="s">
        <v>191</v>
      </c>
      <c r="AC15" s="458" t="s">
        <v>312</v>
      </c>
      <c r="AD15" s="81"/>
      <c r="AE15" s="81"/>
      <c r="AF15" s="81"/>
      <c r="AG15" s="81"/>
      <c r="AH15" s="483" t="s">
        <v>201</v>
      </c>
      <c r="AI15" s="381">
        <v>7200</v>
      </c>
    </row>
    <row r="16" spans="1:35" ht="12.75">
      <c r="A16" s="281">
        <v>40885</v>
      </c>
      <c r="B16" s="487" t="s">
        <v>118</v>
      </c>
      <c r="C16" s="38">
        <v>4</v>
      </c>
      <c r="D16" s="82">
        <v>21</v>
      </c>
      <c r="E16" s="11" t="str">
        <f t="shared" si="0"/>
        <v>E</v>
      </c>
      <c r="F16" s="32" t="str">
        <f t="shared" si="1"/>
        <v>AIL</v>
      </c>
      <c r="G16" s="11">
        <v>51.05</v>
      </c>
      <c r="H16" s="12">
        <v>100</v>
      </c>
      <c r="I16" s="12" t="s">
        <v>395</v>
      </c>
      <c r="J16" s="33">
        <v>0.64</v>
      </c>
      <c r="K16" s="275">
        <v>77.82</v>
      </c>
      <c r="L16" s="11">
        <v>71.29</v>
      </c>
      <c r="M16" s="11">
        <v>61.34</v>
      </c>
      <c r="N16" s="11">
        <v>81.86</v>
      </c>
      <c r="O16" s="11">
        <v>68.2</v>
      </c>
      <c r="P16" s="11">
        <v>62.68</v>
      </c>
      <c r="Q16" s="11">
        <v>71.12</v>
      </c>
      <c r="R16" s="11">
        <v>93.43</v>
      </c>
      <c r="S16" s="11">
        <v>8.95</v>
      </c>
      <c r="T16" s="11">
        <v>25</v>
      </c>
      <c r="U16" s="11">
        <v>21.06</v>
      </c>
      <c r="V16" s="11">
        <v>46.11</v>
      </c>
      <c r="W16" s="11">
        <v>42.2</v>
      </c>
      <c r="X16" s="11">
        <v>1</v>
      </c>
      <c r="Y16" s="12">
        <v>14.18</v>
      </c>
      <c r="Z16" s="110"/>
      <c r="AA16" s="106">
        <v>8</v>
      </c>
      <c r="AB16" s="106" t="s">
        <v>191</v>
      </c>
      <c r="AC16" s="456" t="s">
        <v>239</v>
      </c>
      <c r="AD16" s="81"/>
      <c r="AE16" s="81"/>
      <c r="AF16" s="81"/>
      <c r="AG16" s="81"/>
      <c r="AH16" s="479" t="s">
        <v>203</v>
      </c>
      <c r="AI16" s="381">
        <v>3637</v>
      </c>
    </row>
    <row r="17" spans="1:35" ht="12.75">
      <c r="A17" s="281">
        <v>40885</v>
      </c>
      <c r="B17" s="31" t="s">
        <v>120</v>
      </c>
      <c r="C17" s="38">
        <v>3</v>
      </c>
      <c r="D17" s="82">
        <v>21</v>
      </c>
      <c r="E17" s="11" t="str">
        <f t="shared" si="0"/>
        <v>E</v>
      </c>
      <c r="F17" s="32" t="str">
        <f t="shared" si="1"/>
        <v>AIL</v>
      </c>
      <c r="G17" s="11">
        <v>47.92</v>
      </c>
      <c r="H17" s="12">
        <v>100</v>
      </c>
      <c r="I17" s="12" t="s">
        <v>394</v>
      </c>
      <c r="J17" s="33">
        <v>0.61</v>
      </c>
      <c r="K17" s="275">
        <v>65.68</v>
      </c>
      <c r="L17" s="11">
        <v>64.87</v>
      </c>
      <c r="M17" s="11">
        <v>55.59</v>
      </c>
      <c r="N17" s="11">
        <v>73.77</v>
      </c>
      <c r="O17" s="11">
        <v>59.89</v>
      </c>
      <c r="P17" s="11">
        <v>60.75</v>
      </c>
      <c r="Q17" s="11">
        <v>58.54</v>
      </c>
      <c r="R17" s="11">
        <v>92.98</v>
      </c>
      <c r="S17" s="11">
        <v>8.95</v>
      </c>
      <c r="T17" s="11">
        <v>24.74</v>
      </c>
      <c r="U17" s="11">
        <v>20.89</v>
      </c>
      <c r="V17" s="11">
        <v>45.05</v>
      </c>
      <c r="W17" s="11">
        <v>42.2</v>
      </c>
      <c r="X17" s="11">
        <v>1</v>
      </c>
      <c r="Y17" s="12">
        <v>10.06</v>
      </c>
      <c r="Z17" s="110"/>
      <c r="AA17" s="108">
        <v>9</v>
      </c>
      <c r="AB17" s="108" t="s">
        <v>191</v>
      </c>
      <c r="AC17" s="456" t="s">
        <v>239</v>
      </c>
      <c r="AD17" s="81"/>
      <c r="AE17" s="81"/>
      <c r="AF17" s="81"/>
      <c r="AG17" s="81"/>
      <c r="AH17" s="479" t="s">
        <v>203</v>
      </c>
      <c r="AI17" s="381">
        <v>3013</v>
      </c>
    </row>
    <row r="18" spans="1:35" ht="12.75">
      <c r="A18" s="281">
        <v>40885</v>
      </c>
      <c r="B18" s="139" t="s">
        <v>110</v>
      </c>
      <c r="C18" s="38">
        <v>3</v>
      </c>
      <c r="D18" s="82">
        <v>31</v>
      </c>
      <c r="E18" s="11" t="str">
        <f t="shared" si="0"/>
        <v>S</v>
      </c>
      <c r="F18" s="32" t="str">
        <f t="shared" si="1"/>
        <v>AIL</v>
      </c>
      <c r="G18" s="11">
        <v>40.49</v>
      </c>
      <c r="H18" s="12">
        <v>100</v>
      </c>
      <c r="I18" s="12" t="s">
        <v>307</v>
      </c>
      <c r="J18" s="33">
        <v>0.83</v>
      </c>
      <c r="K18" s="275">
        <v>77.16</v>
      </c>
      <c r="L18" s="11">
        <v>87.68</v>
      </c>
      <c r="M18" s="11">
        <v>65.37</v>
      </c>
      <c r="N18" s="11">
        <v>74.2</v>
      </c>
      <c r="O18" s="11">
        <v>74.42</v>
      </c>
      <c r="P18" s="11">
        <v>63.63</v>
      </c>
      <c r="Q18" s="11">
        <v>59.78</v>
      </c>
      <c r="R18" s="11">
        <v>89.51</v>
      </c>
      <c r="S18" s="11">
        <v>11.31</v>
      </c>
      <c r="T18" s="11">
        <v>6.29</v>
      </c>
      <c r="U18" s="11">
        <v>3.88</v>
      </c>
      <c r="V18" s="11">
        <v>16.32</v>
      </c>
      <c r="W18" s="11">
        <v>6.84</v>
      </c>
      <c r="X18" s="11">
        <v>1</v>
      </c>
      <c r="Y18" s="12">
        <v>14.18</v>
      </c>
      <c r="Z18" s="109"/>
      <c r="AA18" s="108"/>
      <c r="AB18" s="106"/>
      <c r="AC18" s="454" t="s">
        <v>293</v>
      </c>
      <c r="AD18" s="81"/>
      <c r="AE18" s="81"/>
      <c r="AF18" s="81"/>
      <c r="AG18" s="81"/>
      <c r="AH18" s="483" t="s">
        <v>201</v>
      </c>
      <c r="AI18" s="381">
        <v>2218</v>
      </c>
    </row>
    <row r="19" spans="1:35" ht="12.75">
      <c r="A19" s="256">
        <v>40885</v>
      </c>
      <c r="B19" s="491" t="s">
        <v>311</v>
      </c>
      <c r="C19" s="492">
        <v>3</v>
      </c>
      <c r="D19" s="493">
        <v>18</v>
      </c>
      <c r="E19" s="11" t="str">
        <f t="shared" si="0"/>
        <v>E</v>
      </c>
      <c r="F19" s="32" t="str">
        <f t="shared" si="1"/>
        <v>AIL</v>
      </c>
      <c r="G19" s="494">
        <v>1.91</v>
      </c>
      <c r="H19" s="495">
        <v>2</v>
      </c>
      <c r="I19" s="495" t="s">
        <v>307</v>
      </c>
      <c r="J19" s="33">
        <v>0.83</v>
      </c>
      <c r="K19" s="275">
        <v>1</v>
      </c>
      <c r="L19" s="494">
        <v>3.88</v>
      </c>
      <c r="M19" s="494">
        <v>1.84</v>
      </c>
      <c r="N19" s="494">
        <v>1.84</v>
      </c>
      <c r="O19" s="494">
        <v>1</v>
      </c>
      <c r="P19" s="494">
        <v>1.84</v>
      </c>
      <c r="Q19" s="494">
        <v>1.84</v>
      </c>
      <c r="R19" s="494">
        <v>1.84</v>
      </c>
      <c r="S19" s="494">
        <v>1.2</v>
      </c>
      <c r="T19" s="494">
        <v>3.18</v>
      </c>
      <c r="U19" s="494">
        <v>3.39</v>
      </c>
      <c r="V19" s="494">
        <v>1.84</v>
      </c>
      <c r="W19" s="494">
        <v>2.18</v>
      </c>
      <c r="X19" s="494">
        <v>1</v>
      </c>
      <c r="Y19" s="495">
        <v>1.2</v>
      </c>
      <c r="Z19" s="110"/>
      <c r="AA19" s="108"/>
      <c r="AB19" s="108"/>
      <c r="AC19" s="455" t="s">
        <v>240</v>
      </c>
      <c r="AD19" s="81"/>
      <c r="AE19" s="81"/>
      <c r="AF19" s="81"/>
      <c r="AG19" s="81"/>
      <c r="AH19" s="479" t="s">
        <v>203</v>
      </c>
      <c r="AI19" s="381">
        <v>0</v>
      </c>
    </row>
    <row r="20" spans="1:35" ht="12.75">
      <c r="A20" s="165">
        <v>40885</v>
      </c>
      <c r="B20" s="92" t="s">
        <v>114</v>
      </c>
      <c r="C20" s="105">
        <v>5</v>
      </c>
      <c r="D20" s="246">
        <v>32</v>
      </c>
      <c r="E20" s="11" t="str">
        <f t="shared" si="0"/>
        <v>S</v>
      </c>
      <c r="F20" s="32" t="str">
        <f t="shared" si="1"/>
        <v>PIV</v>
      </c>
      <c r="G20" s="32">
        <v>85.88</v>
      </c>
      <c r="H20" s="37">
        <v>100</v>
      </c>
      <c r="I20" s="37" t="s">
        <v>307</v>
      </c>
      <c r="J20" s="33">
        <v>0.64</v>
      </c>
      <c r="K20" s="275">
        <v>110.29</v>
      </c>
      <c r="L20" s="32">
        <v>92.81</v>
      </c>
      <c r="M20" s="32">
        <v>106.84</v>
      </c>
      <c r="N20" s="32">
        <v>120.47</v>
      </c>
      <c r="O20" s="32">
        <v>109.03</v>
      </c>
      <c r="P20" s="32">
        <v>113.09</v>
      </c>
      <c r="Q20" s="32">
        <v>102.89</v>
      </c>
      <c r="R20" s="32">
        <v>119.34</v>
      </c>
      <c r="S20" s="32">
        <v>60.88</v>
      </c>
      <c r="T20" s="32">
        <v>5.16</v>
      </c>
      <c r="U20" s="32">
        <v>13.98</v>
      </c>
      <c r="V20" s="32">
        <v>11.81</v>
      </c>
      <c r="W20" s="32">
        <v>94.89</v>
      </c>
      <c r="X20" s="32">
        <v>1</v>
      </c>
      <c r="Y20" s="37">
        <v>20.79</v>
      </c>
      <c r="Z20" s="110"/>
      <c r="AA20" s="108"/>
      <c r="AB20" s="108"/>
      <c r="AC20" s="323" t="s">
        <v>238</v>
      </c>
      <c r="AD20" s="81"/>
      <c r="AE20" s="81"/>
      <c r="AF20" s="81"/>
      <c r="AG20" s="81"/>
      <c r="AH20" s="480" t="s">
        <v>207</v>
      </c>
      <c r="AI20" s="381">
        <v>13749</v>
      </c>
    </row>
    <row r="21" spans="1:35" ht="12.75">
      <c r="A21" s="165">
        <v>40885</v>
      </c>
      <c r="B21" s="139" t="s">
        <v>112</v>
      </c>
      <c r="C21" s="36">
        <v>5</v>
      </c>
      <c r="D21" s="272">
        <v>21</v>
      </c>
      <c r="E21" s="11" t="str">
        <f t="shared" si="0"/>
        <v>E</v>
      </c>
      <c r="F21" s="32" t="str">
        <f t="shared" si="1"/>
        <v>PIV</v>
      </c>
      <c r="G21" s="32">
        <v>64.29</v>
      </c>
      <c r="H21" s="37">
        <v>100</v>
      </c>
      <c r="I21" s="37" t="s">
        <v>394</v>
      </c>
      <c r="J21" s="33">
        <v>0.62</v>
      </c>
      <c r="K21" s="275">
        <v>83.08</v>
      </c>
      <c r="L21" s="32">
        <v>70.96</v>
      </c>
      <c r="M21" s="32">
        <v>80.18</v>
      </c>
      <c r="N21" s="32">
        <v>100.08</v>
      </c>
      <c r="O21" s="32">
        <v>90.17</v>
      </c>
      <c r="P21" s="32">
        <v>92.45</v>
      </c>
      <c r="Q21" s="32">
        <v>83.8</v>
      </c>
      <c r="R21" s="32">
        <v>103.98</v>
      </c>
      <c r="S21" s="32">
        <v>20.08</v>
      </c>
      <c r="T21" s="32">
        <v>23.09</v>
      </c>
      <c r="U21" s="32">
        <v>22.52</v>
      </c>
      <c r="V21" s="32">
        <v>48.89</v>
      </c>
      <c r="W21" s="32">
        <v>39.96</v>
      </c>
      <c r="X21" s="32">
        <v>1</v>
      </c>
      <c r="Y21" s="37">
        <v>16.86</v>
      </c>
      <c r="Z21" s="110"/>
      <c r="AA21" s="106"/>
      <c r="AB21" s="106" t="s">
        <v>190</v>
      </c>
      <c r="AC21" s="321" t="s">
        <v>239</v>
      </c>
      <c r="AD21" s="81"/>
      <c r="AE21" s="81"/>
      <c r="AF21" s="81"/>
      <c r="AG21" s="81"/>
      <c r="AH21" s="479" t="s">
        <v>203</v>
      </c>
      <c r="AI21" s="381">
        <v>6717</v>
      </c>
    </row>
    <row r="22" spans="1:35" ht="12.75">
      <c r="A22" s="355">
        <v>40885</v>
      </c>
      <c r="B22" s="81" t="s">
        <v>108</v>
      </c>
      <c r="C22" s="100">
        <v>5</v>
      </c>
      <c r="D22" s="273">
        <v>22</v>
      </c>
      <c r="E22" s="11" t="str">
        <f t="shared" si="0"/>
        <v>S</v>
      </c>
      <c r="F22" s="32" t="str">
        <f t="shared" si="1"/>
        <v>PIV</v>
      </c>
      <c r="G22" s="36">
        <v>58.89</v>
      </c>
      <c r="H22" s="274">
        <v>53.55</v>
      </c>
      <c r="I22" s="274" t="s">
        <v>393</v>
      </c>
      <c r="J22" s="33">
        <v>0.71</v>
      </c>
      <c r="K22" s="275">
        <v>63.27</v>
      </c>
      <c r="L22" s="36">
        <v>79.6</v>
      </c>
      <c r="M22" s="36">
        <v>61.41</v>
      </c>
      <c r="N22" s="36">
        <v>86.02</v>
      </c>
      <c r="O22" s="36">
        <v>69.81</v>
      </c>
      <c r="P22" s="36">
        <v>76.75</v>
      </c>
      <c r="Q22" s="36">
        <v>68.2</v>
      </c>
      <c r="R22" s="36">
        <v>96.79</v>
      </c>
      <c r="S22" s="36">
        <v>22.9</v>
      </c>
      <c r="T22" s="36">
        <v>23.48</v>
      </c>
      <c r="U22" s="36">
        <v>23.95</v>
      </c>
      <c r="V22" s="36">
        <v>61.04</v>
      </c>
      <c r="W22" s="36">
        <v>44.29</v>
      </c>
      <c r="X22" s="36">
        <v>1</v>
      </c>
      <c r="Y22" s="274">
        <v>23.55</v>
      </c>
      <c r="Z22" s="110"/>
      <c r="AA22" s="108">
        <v>5</v>
      </c>
      <c r="AB22" s="108" t="s">
        <v>192</v>
      </c>
      <c r="AC22" s="363" t="s">
        <v>312</v>
      </c>
      <c r="AD22" s="81"/>
      <c r="AE22" s="81"/>
      <c r="AF22" s="81"/>
      <c r="AG22" s="81"/>
      <c r="AH22" s="486" t="s">
        <v>206</v>
      </c>
      <c r="AI22" s="381">
        <v>5635</v>
      </c>
    </row>
    <row r="23" spans="1:35" ht="12.75">
      <c r="A23" s="355">
        <v>40885</v>
      </c>
      <c r="B23" s="139" t="s">
        <v>213</v>
      </c>
      <c r="C23" s="32">
        <v>5</v>
      </c>
      <c r="D23" s="195">
        <v>32</v>
      </c>
      <c r="E23" s="11" t="str">
        <f t="shared" si="0"/>
        <v>S</v>
      </c>
      <c r="F23" s="32" t="str">
        <f t="shared" si="1"/>
        <v>PIV</v>
      </c>
      <c r="G23" s="32">
        <v>48.56</v>
      </c>
      <c r="H23" s="37">
        <v>100</v>
      </c>
      <c r="I23" s="37" t="s">
        <v>307</v>
      </c>
      <c r="J23" s="33">
        <v>0.83</v>
      </c>
      <c r="K23" s="275">
        <v>74.31</v>
      </c>
      <c r="L23" s="32">
        <v>66.97</v>
      </c>
      <c r="M23" s="32">
        <v>57.91</v>
      </c>
      <c r="N23" s="32">
        <v>78.57</v>
      </c>
      <c r="O23" s="32">
        <v>72.26</v>
      </c>
      <c r="P23" s="32">
        <v>75.15</v>
      </c>
      <c r="Q23" s="32">
        <v>57.97</v>
      </c>
      <c r="R23" s="32">
        <v>89.33</v>
      </c>
      <c r="S23" s="32">
        <v>28.72</v>
      </c>
      <c r="T23" s="32">
        <v>3.72</v>
      </c>
      <c r="U23" s="32">
        <v>5.69</v>
      </c>
      <c r="V23" s="32">
        <v>12.34</v>
      </c>
      <c r="W23" s="32">
        <v>2.9</v>
      </c>
      <c r="X23" s="32">
        <v>1</v>
      </c>
      <c r="Y23" s="37">
        <v>21.8</v>
      </c>
      <c r="Z23" s="109"/>
      <c r="AA23" s="108"/>
      <c r="AB23" s="106" t="s">
        <v>189</v>
      </c>
      <c r="AC23" s="318" t="s">
        <v>293</v>
      </c>
      <c r="AD23" s="81"/>
      <c r="AE23" s="81"/>
      <c r="AF23" s="81"/>
      <c r="AG23" s="81"/>
      <c r="AH23" s="483" t="s">
        <v>201</v>
      </c>
      <c r="AI23" s="381">
        <v>3674</v>
      </c>
    </row>
    <row r="24" spans="1:35" ht="12.75">
      <c r="A24" s="282">
        <v>40885</v>
      </c>
      <c r="B24" s="354" t="s">
        <v>310</v>
      </c>
      <c r="C24" s="36">
        <v>5</v>
      </c>
      <c r="D24" s="272">
        <v>19</v>
      </c>
      <c r="E24" s="11" t="str">
        <f t="shared" si="0"/>
        <v>E</v>
      </c>
      <c r="F24" s="32" t="str">
        <f t="shared" si="1"/>
        <v>PIV</v>
      </c>
      <c r="G24" s="36">
        <v>1.81</v>
      </c>
      <c r="H24" s="274">
        <v>3.15</v>
      </c>
      <c r="I24" s="274" t="s">
        <v>307</v>
      </c>
      <c r="J24" s="33">
        <v>0.82</v>
      </c>
      <c r="K24" s="275">
        <v>1.15</v>
      </c>
      <c r="L24" s="36">
        <v>3.88</v>
      </c>
      <c r="M24" s="36">
        <v>2.01</v>
      </c>
      <c r="N24" s="36">
        <v>2.01</v>
      </c>
      <c r="O24" s="36">
        <v>1.15</v>
      </c>
      <c r="P24" s="36">
        <v>2.01</v>
      </c>
      <c r="Q24" s="36">
        <v>2.01</v>
      </c>
      <c r="R24" s="36">
        <v>2.01</v>
      </c>
      <c r="S24" s="36">
        <v>1.2</v>
      </c>
      <c r="T24" s="36">
        <v>3.18</v>
      </c>
      <c r="U24" s="36">
        <v>1.84</v>
      </c>
      <c r="V24" s="36">
        <v>1.84</v>
      </c>
      <c r="W24" s="36">
        <v>2.18</v>
      </c>
      <c r="X24" s="36">
        <v>1</v>
      </c>
      <c r="Y24" s="274">
        <v>1.2</v>
      </c>
      <c r="Z24" s="110"/>
      <c r="AA24" s="108"/>
      <c r="AB24" s="108"/>
      <c r="AC24" s="322" t="s">
        <v>240</v>
      </c>
      <c r="AD24" s="81"/>
      <c r="AE24" s="81"/>
      <c r="AF24" s="81"/>
      <c r="AG24" s="81"/>
      <c r="AH24" s="479" t="s">
        <v>203</v>
      </c>
      <c r="AI24" s="381">
        <v>0</v>
      </c>
    </row>
    <row r="25" spans="1:35" ht="12.75">
      <c r="A25" s="173"/>
      <c r="B25" s="488"/>
      <c r="C25" s="32"/>
      <c r="D25" s="195"/>
      <c r="E25" s="159"/>
      <c r="F25" s="32"/>
      <c r="G25" s="32"/>
      <c r="H25" s="37"/>
      <c r="I25" s="37"/>
      <c r="J25" s="33"/>
      <c r="K25" s="275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108"/>
      <c r="AA25" s="108"/>
      <c r="AB25" s="108"/>
      <c r="AC25" s="81"/>
      <c r="AD25" s="81"/>
      <c r="AE25" s="81"/>
      <c r="AF25" s="81"/>
      <c r="AG25" s="81"/>
      <c r="AH25" s="81"/>
      <c r="AI25" s="381"/>
    </row>
    <row r="26" spans="1:35" ht="12.75">
      <c r="A26" s="281"/>
      <c r="B26" s="139"/>
      <c r="C26" s="32"/>
      <c r="D26" s="195"/>
      <c r="E26" s="159"/>
      <c r="F26" s="32"/>
      <c r="G26" s="32"/>
      <c r="H26" s="37"/>
      <c r="I26" s="37"/>
      <c r="J26" s="33"/>
      <c r="K26" s="39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106"/>
      <c r="AA26" s="108"/>
      <c r="AB26" s="106"/>
      <c r="AC26" s="81"/>
      <c r="AD26" s="81"/>
      <c r="AE26" s="81"/>
      <c r="AF26" s="81"/>
      <c r="AG26" s="81"/>
      <c r="AH26" s="81"/>
      <c r="AI26" s="381"/>
    </row>
    <row r="27" spans="1:35" s="248" customFormat="1" ht="12.75">
      <c r="A27" s="253"/>
      <c r="B27" s="114"/>
      <c r="C27" s="225"/>
      <c r="D27" s="254"/>
      <c r="E27" s="225"/>
      <c r="F27" s="225"/>
      <c r="G27" s="225"/>
      <c r="H27" s="225"/>
      <c r="I27" s="225"/>
      <c r="J27" s="25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AI27" s="382">
        <f>SUM(AI2:AI26)</f>
        <v>115999</v>
      </c>
    </row>
    <row r="28" spans="3:32" ht="12.75">
      <c r="C28" s="249" t="s">
        <v>3</v>
      </c>
      <c r="D28" s="250" t="s">
        <v>0</v>
      </c>
      <c r="E28" s="249"/>
      <c r="F28" s="251"/>
      <c r="G28" s="252" t="s">
        <v>22</v>
      </c>
      <c r="H28" s="252" t="s">
        <v>23</v>
      </c>
      <c r="I28" s="252"/>
      <c r="J28" s="252" t="s">
        <v>24</v>
      </c>
      <c r="K28" s="252" t="s">
        <v>55</v>
      </c>
      <c r="L28" s="252" t="s">
        <v>35</v>
      </c>
      <c r="M28" s="252" t="s">
        <v>56</v>
      </c>
      <c r="N28" s="252" t="s">
        <v>36</v>
      </c>
      <c r="O28" s="252" t="s">
        <v>29</v>
      </c>
      <c r="P28" s="252" t="s">
        <v>57</v>
      </c>
      <c r="Q28" s="252" t="s">
        <v>63</v>
      </c>
      <c r="R28" s="252" t="s">
        <v>58</v>
      </c>
      <c r="S28" s="252" t="s">
        <v>59</v>
      </c>
      <c r="T28" s="252" t="s">
        <v>60</v>
      </c>
      <c r="U28" s="252" t="s">
        <v>34</v>
      </c>
      <c r="V28" s="252" t="s">
        <v>61</v>
      </c>
      <c r="W28" s="252" t="s">
        <v>30</v>
      </c>
      <c r="X28" s="252" t="s">
        <v>38</v>
      </c>
      <c r="Y28" s="252" t="s">
        <v>62</v>
      </c>
      <c r="AE28" s="4"/>
      <c r="AF28" s="4"/>
    </row>
    <row r="29" spans="2:32" ht="12.75">
      <c r="B29" s="509" t="s">
        <v>65</v>
      </c>
      <c r="C29" s="40"/>
      <c r="D29" s="125">
        <f>SUMIF($F$2:$F$26,"MEN",D$2:D$26)/COUNTIF($F$2:$F$26,"MEN")</f>
        <v>23.25</v>
      </c>
      <c r="E29" s="41"/>
      <c r="F29" s="42"/>
      <c r="G29" s="48">
        <f>SUMIF($F$2:$F$26,"MEN",G$2:G$26)/COUNTIF($F$2:$F$26,"MEN")</f>
        <v>49.2775</v>
      </c>
      <c r="H29" s="48">
        <f>SUMIF($F$2:$F$24,"MEN",H$2:H$26)/COUNTIF($F$2:$F$26,"MEN")</f>
        <v>98.2025</v>
      </c>
      <c r="I29" s="48"/>
      <c r="J29" s="33">
        <f>SUMIF($F$2:$F$26,"MEN",J$2:J$24)/COUNTIF($F$2:$F$26,"MEN")</f>
        <v>0.7100000000000001</v>
      </c>
      <c r="K29" s="48">
        <f>SUMIF($F$2:$F$26,"MEN",K$2:K$26)/COUNTIF($F$2:$F$26,"MEN")</f>
        <v>28.7975</v>
      </c>
      <c r="L29" s="48">
        <f aca="true" t="shared" si="2" ref="L29:Y29">SUMIF($F$2:$F$26,"MEN",L$2:L$26)/COUNTIF($F$2:$F$26,"MEN")</f>
        <v>77.8125</v>
      </c>
      <c r="M29" s="48">
        <f t="shared" si="2"/>
        <v>73.8575</v>
      </c>
      <c r="N29" s="48">
        <f t="shared" si="2"/>
        <v>74.39</v>
      </c>
      <c r="O29" s="48">
        <f t="shared" si="2"/>
        <v>29.367499999999996</v>
      </c>
      <c r="P29" s="48">
        <f t="shared" si="2"/>
        <v>68.8</v>
      </c>
      <c r="Q29" s="48">
        <f t="shared" si="2"/>
        <v>80.92</v>
      </c>
      <c r="R29" s="48">
        <f t="shared" si="2"/>
        <v>93.8775</v>
      </c>
      <c r="S29" s="48">
        <f t="shared" si="2"/>
        <v>8.28</v>
      </c>
      <c r="T29" s="48">
        <f t="shared" si="2"/>
        <v>35.7425</v>
      </c>
      <c r="U29" s="48">
        <f t="shared" si="2"/>
        <v>28.315</v>
      </c>
      <c r="V29" s="48">
        <f t="shared" si="2"/>
        <v>46.6675</v>
      </c>
      <c r="W29" s="48">
        <f t="shared" si="2"/>
        <v>43.8525</v>
      </c>
      <c r="X29" s="48">
        <f t="shared" si="2"/>
        <v>1</v>
      </c>
      <c r="Y29" s="48">
        <f t="shared" si="2"/>
        <v>23.317500000000003</v>
      </c>
      <c r="AA29" s="519" t="s">
        <v>238</v>
      </c>
      <c r="AB29" s="519"/>
      <c r="AC29" s="383">
        <f aca="true" t="shared" si="3" ref="AC29:AC34">COUNTIF(AC$2:AC$26,$AA29)</f>
        <v>5</v>
      </c>
      <c r="AE29" s="384"/>
      <c r="AF29" s="384"/>
    </row>
    <row r="30" spans="2:32" ht="12.75">
      <c r="B30" s="509"/>
      <c r="C30" s="43"/>
      <c r="D30" s="90" t="str">
        <f>COUNTIF($G30:$Y30,"S1")&amp;" x "&amp;COUNTIF($G30:$Y30,"S2")</f>
        <v>0 x 0</v>
      </c>
      <c r="E30" s="1"/>
      <c r="F30" s="1"/>
      <c r="G30" s="43"/>
      <c r="H30" s="1"/>
      <c r="I30" s="1"/>
      <c r="J30" s="44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/>
      <c r="AA30" s="518" t="s">
        <v>312</v>
      </c>
      <c r="AB30" s="518"/>
      <c r="AC30" s="383">
        <f t="shared" si="3"/>
        <v>4</v>
      </c>
      <c r="AE30" s="385"/>
      <c r="AF30" s="385"/>
    </row>
    <row r="31" spans="2:32" ht="12.75">
      <c r="B31" s="509"/>
      <c r="C31" s="45"/>
      <c r="D31" s="83"/>
      <c r="E31" s="46"/>
      <c r="F31" s="46"/>
      <c r="G31" s="45"/>
      <c r="H31" s="46"/>
      <c r="I31" s="46"/>
      <c r="J31" s="47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/>
      <c r="AA31" s="517" t="s">
        <v>265</v>
      </c>
      <c r="AB31" s="517"/>
      <c r="AC31" s="383">
        <f t="shared" si="3"/>
        <v>2</v>
      </c>
      <c r="AE31" s="385"/>
      <c r="AF31" s="385"/>
    </row>
    <row r="32" spans="2:32" ht="12.75">
      <c r="B32" s="509" t="s">
        <v>93</v>
      </c>
      <c r="C32" s="40"/>
      <c r="D32" s="124">
        <f>SUMIF($F$2:$F$24,"ARR",D$2:D$24)/COUNTIF($F$2:$F$24,"ARR")</f>
        <v>22.333333333333332</v>
      </c>
      <c r="E32" s="41"/>
      <c r="F32" s="42"/>
      <c r="G32" s="48">
        <f>SUMIF($F$2:$F$24,"ARR",G$2:G$24)/COUNTIF($F$2:$F$24,"ARR")</f>
        <v>37.94</v>
      </c>
      <c r="H32" s="48">
        <f>SUMIF($F$2:$F$24,"ARR",H$2:H$24)/COUNTIF($F$2:$F$24,"ARR")</f>
        <v>56.660000000000004</v>
      </c>
      <c r="I32" s="48"/>
      <c r="J32" s="33">
        <f>SUMIF($F$2:$F$24,"ARR",J$2:J$24)/COUNTIF($F$2:$F$24,"ARR")</f>
        <v>0.7083333333333334</v>
      </c>
      <c r="K32" s="48">
        <f aca="true" t="shared" si="4" ref="K32:Y32">SUMIF($F$2:$F$24,"ARR",K$2:K$24)/COUNTIF($F$2:$F$24,"ARR")</f>
        <v>45.678333333333335</v>
      </c>
      <c r="L32" s="48">
        <f t="shared" si="4"/>
        <v>55.76666666666667</v>
      </c>
      <c r="M32" s="48">
        <f t="shared" si="4"/>
        <v>49.495000000000005</v>
      </c>
      <c r="N32" s="48">
        <f t="shared" si="4"/>
        <v>61.58833333333333</v>
      </c>
      <c r="O32" s="48">
        <f t="shared" si="4"/>
        <v>52.44833333333333</v>
      </c>
      <c r="P32" s="48">
        <f t="shared" si="4"/>
        <v>48.04333333333333</v>
      </c>
      <c r="Q32" s="48">
        <f t="shared" si="4"/>
        <v>54.778333333333336</v>
      </c>
      <c r="R32" s="48">
        <f t="shared" si="4"/>
        <v>62.92333333333334</v>
      </c>
      <c r="S32" s="48">
        <f t="shared" si="4"/>
        <v>8.685</v>
      </c>
      <c r="T32" s="48">
        <f t="shared" si="4"/>
        <v>15.411666666666669</v>
      </c>
      <c r="U32" s="48">
        <f t="shared" si="4"/>
        <v>21.49</v>
      </c>
      <c r="V32" s="48">
        <f t="shared" si="4"/>
        <v>38.37</v>
      </c>
      <c r="W32" s="48">
        <f t="shared" si="4"/>
        <v>37.22833333333334</v>
      </c>
      <c r="X32" s="48">
        <f t="shared" si="4"/>
        <v>1</v>
      </c>
      <c r="Y32" s="84">
        <f t="shared" si="4"/>
        <v>8.265</v>
      </c>
      <c r="AA32" s="516" t="s">
        <v>239</v>
      </c>
      <c r="AB32" s="516"/>
      <c r="AC32" s="383">
        <f t="shared" si="3"/>
        <v>5</v>
      </c>
      <c r="AE32" s="385"/>
      <c r="AF32" s="385"/>
    </row>
    <row r="33" spans="2:32" ht="12.75">
      <c r="B33" s="509"/>
      <c r="C33" s="43"/>
      <c r="D33" s="90" t="str">
        <f>COUNTIF($G33:$Y33,"S1")&amp;" x "&amp;COUNTIF($G33:$Y33,"S2")</f>
        <v>0 x 0</v>
      </c>
      <c r="E33" s="1"/>
      <c r="F33" s="44"/>
      <c r="G33" s="1"/>
      <c r="H33" s="1"/>
      <c r="I33" s="1"/>
      <c r="J33" s="44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7"/>
      <c r="AA33" s="515" t="s">
        <v>240</v>
      </c>
      <c r="AB33" s="515"/>
      <c r="AC33" s="383">
        <f t="shared" si="3"/>
        <v>3</v>
      </c>
      <c r="AE33" s="385"/>
      <c r="AF33" s="385"/>
    </row>
    <row r="34" spans="2:32" ht="13.5" thickBot="1">
      <c r="B34" s="509"/>
      <c r="C34" s="45"/>
      <c r="D34" s="83"/>
      <c r="E34" s="46"/>
      <c r="F34" s="47"/>
      <c r="G34" s="46"/>
      <c r="H34" s="46"/>
      <c r="I34" s="46"/>
      <c r="J34" s="47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7"/>
      <c r="AA34" s="514" t="s">
        <v>293</v>
      </c>
      <c r="AB34" s="514"/>
      <c r="AC34" s="386">
        <f t="shared" si="3"/>
        <v>4</v>
      </c>
      <c r="AE34" s="384"/>
      <c r="AF34" s="384"/>
    </row>
    <row r="35" spans="2:32" ht="13.5" thickBot="1">
      <c r="B35" s="509" t="s">
        <v>64</v>
      </c>
      <c r="C35" s="40"/>
      <c r="D35" s="124">
        <f>SUMIF($F$2:$F$24,"AIL",D$2:D$24)/COUNTIF($F$2:$F$24,"AIL")</f>
        <v>23.125</v>
      </c>
      <c r="E35" s="41"/>
      <c r="F35" s="42"/>
      <c r="G35" s="48">
        <f>SUMIF($F$2:$F$24,"AIL",G$2:G$24)/COUNTIF($F$2:$F$24,"AIL")</f>
        <v>54.563750000000006</v>
      </c>
      <c r="H35" s="48">
        <f>SUMIF($F$2:$F$24,"AIL",H$2:H$24)/COUNTIF($F$2:$F$24,"AIL")</f>
        <v>76.64375000000001</v>
      </c>
      <c r="I35" s="48"/>
      <c r="J35" s="33">
        <f>SUMIF($F$2:$F$24,"AIL",J$2:J$24)/COUNTIF($F$2:$F$24,"AIL")</f>
        <v>0.7025</v>
      </c>
      <c r="K35" s="48">
        <f aca="true" t="shared" si="5" ref="K35:Y35">SUMIF($F$2:$F$24,"AIL",K$2:K$24)/COUNTIF($F$2:$F$24,"AIL")</f>
        <v>73.11</v>
      </c>
      <c r="L35" s="48">
        <f t="shared" si="5"/>
        <v>74.385</v>
      </c>
      <c r="M35" s="48">
        <f t="shared" si="5"/>
        <v>69.43</v>
      </c>
      <c r="N35" s="48">
        <f t="shared" si="5"/>
        <v>81.52375</v>
      </c>
      <c r="O35" s="48">
        <f t="shared" si="5"/>
        <v>71.34249999999999</v>
      </c>
      <c r="P35" s="48">
        <f t="shared" si="5"/>
        <v>66.78625000000001</v>
      </c>
      <c r="Q35" s="48">
        <f t="shared" si="5"/>
        <v>68.97375000000001</v>
      </c>
      <c r="R35" s="48">
        <f t="shared" si="5"/>
        <v>90.05625</v>
      </c>
      <c r="S35" s="48">
        <f t="shared" si="5"/>
        <v>21.404999999999994</v>
      </c>
      <c r="T35" s="48">
        <f t="shared" si="5"/>
        <v>26.33375</v>
      </c>
      <c r="U35" s="48">
        <f t="shared" si="5"/>
        <v>22.693749999999994</v>
      </c>
      <c r="V35" s="48">
        <f t="shared" si="5"/>
        <v>51.61375</v>
      </c>
      <c r="W35" s="48">
        <f t="shared" si="5"/>
        <v>51.495</v>
      </c>
      <c r="X35" s="48">
        <f t="shared" si="5"/>
        <v>1</v>
      </c>
      <c r="Y35" s="84">
        <f t="shared" si="5"/>
        <v>25.126250000000002</v>
      </c>
      <c r="AC35" s="387">
        <f>SUM(AC29:AC34)</f>
        <v>23</v>
      </c>
      <c r="AE35" s="4"/>
      <c r="AF35" s="4"/>
    </row>
    <row r="36" spans="2:32" ht="12.75">
      <c r="B36" s="509"/>
      <c r="C36" s="43"/>
      <c r="D36" s="90" t="str">
        <f>COUNTIF($G36:$Y36,"S1")&amp;" x "&amp;COUNTIF($G36:$Y36,"S2")</f>
        <v>0 x 0</v>
      </c>
      <c r="E36" s="1"/>
      <c r="F36" s="44"/>
      <c r="G36" s="1"/>
      <c r="H36" s="1"/>
      <c r="I36" s="1"/>
      <c r="J36" s="44"/>
      <c r="K36" s="76" t="s">
        <v>107</v>
      </c>
      <c r="L36" s="76"/>
      <c r="M36" s="76"/>
      <c r="N36" s="76" t="s">
        <v>107</v>
      </c>
      <c r="O36" s="76"/>
      <c r="P36" s="76" t="s">
        <v>135</v>
      </c>
      <c r="Q36" s="76" t="s">
        <v>135</v>
      </c>
      <c r="R36" s="76" t="s">
        <v>107</v>
      </c>
      <c r="S36" s="76"/>
      <c r="T36" s="76" t="s">
        <v>107</v>
      </c>
      <c r="U36" s="76"/>
      <c r="V36" s="101"/>
      <c r="W36" s="76"/>
      <c r="X36" s="76"/>
      <c r="Y36" s="77"/>
      <c r="AE36" s="4"/>
      <c r="AF36" s="4"/>
    </row>
    <row r="37" spans="2:32" ht="12.75">
      <c r="B37" s="509"/>
      <c r="C37" s="45"/>
      <c r="D37" s="83"/>
      <c r="E37" s="46"/>
      <c r="F37" s="47"/>
      <c r="G37" s="46"/>
      <c r="H37" s="46"/>
      <c r="I37" s="46"/>
      <c r="J37" s="47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101"/>
      <c r="W37" s="76"/>
      <c r="X37" s="76"/>
      <c r="Y37" s="77"/>
      <c r="AE37" s="4"/>
      <c r="AF37" s="4"/>
    </row>
    <row r="38" spans="2:25" ht="12.75">
      <c r="B38" s="509" t="s">
        <v>66</v>
      </c>
      <c r="C38" s="40"/>
      <c r="D38" s="124">
        <f>SUMIF($F$2:$F$24,"PIV",D$2:D$24)/COUNTIF($F$2:$F$24,"PIV")</f>
        <v>25.2</v>
      </c>
      <c r="E38" s="41"/>
      <c r="F38" s="42"/>
      <c r="G38" s="48">
        <f>SUMIF($F$2:$F$24,"PIV",G$2:G$24)/COUNTIF($F$2:$F$24,"PIV")</f>
        <v>51.886</v>
      </c>
      <c r="H38" s="48">
        <f>SUMIF($F$2:$F$24,"PIV",H$2:H$24)/COUNTIF($F$2:$F$24,"PIV")</f>
        <v>71.34</v>
      </c>
      <c r="I38" s="48"/>
      <c r="J38" s="33">
        <f>SUMIF($F$2:$F$24,"PIV",J$2:J$24)/COUNTIF($F$2:$F$24,"PIV")</f>
        <v>0.724</v>
      </c>
      <c r="K38" s="48">
        <f aca="true" t="shared" si="6" ref="K38:Y38">SUMIF($F$2:$F$24,"PIV",K$2:K$24)/COUNTIF($F$2:$F$24,"PIV")</f>
        <v>66.41999999999999</v>
      </c>
      <c r="L38" s="48">
        <f t="shared" si="6"/>
        <v>62.843999999999994</v>
      </c>
      <c r="M38" s="48">
        <f t="shared" si="6"/>
        <v>61.67</v>
      </c>
      <c r="N38" s="48">
        <f t="shared" si="6"/>
        <v>77.42999999999999</v>
      </c>
      <c r="O38" s="48">
        <f t="shared" si="6"/>
        <v>68.484</v>
      </c>
      <c r="P38" s="48">
        <f t="shared" si="6"/>
        <v>71.89000000000001</v>
      </c>
      <c r="Q38" s="48">
        <f t="shared" si="6"/>
        <v>62.974000000000004</v>
      </c>
      <c r="R38" s="48">
        <f t="shared" si="6"/>
        <v>82.28999999999999</v>
      </c>
      <c r="S38" s="48">
        <f t="shared" si="6"/>
        <v>26.756</v>
      </c>
      <c r="T38" s="48">
        <f t="shared" si="6"/>
        <v>11.726</v>
      </c>
      <c r="U38" s="48">
        <f t="shared" si="6"/>
        <v>13.596</v>
      </c>
      <c r="V38" s="48">
        <f t="shared" si="6"/>
        <v>27.184000000000005</v>
      </c>
      <c r="W38" s="48">
        <f t="shared" si="6"/>
        <v>36.844</v>
      </c>
      <c r="X38" s="48">
        <f t="shared" si="6"/>
        <v>1</v>
      </c>
      <c r="Y38" s="84">
        <f t="shared" si="6"/>
        <v>16.84</v>
      </c>
    </row>
    <row r="39" spans="2:25" ht="12.75">
      <c r="B39" s="509"/>
      <c r="C39" s="43"/>
      <c r="D39" s="90" t="str">
        <f>COUNTIF($G39:$Y39,"S1")&amp;" x "&amp;COUNTIF($G39:$Y39,"S2")</f>
        <v>0 x 0</v>
      </c>
      <c r="E39" s="1"/>
      <c r="F39" s="1"/>
      <c r="G39" s="43"/>
      <c r="H39" s="1"/>
      <c r="I39" s="1"/>
      <c r="J39" s="44"/>
      <c r="K39" s="76" t="s">
        <v>107</v>
      </c>
      <c r="L39" s="76"/>
      <c r="M39" s="76"/>
      <c r="N39" s="76" t="s">
        <v>107</v>
      </c>
      <c r="O39" s="76"/>
      <c r="P39" s="76" t="s">
        <v>135</v>
      </c>
      <c r="Q39" s="76" t="s">
        <v>135</v>
      </c>
      <c r="R39" s="76" t="s">
        <v>107</v>
      </c>
      <c r="S39" s="76"/>
      <c r="T39" s="76" t="s">
        <v>107</v>
      </c>
      <c r="U39" s="76"/>
      <c r="V39" s="101"/>
      <c r="W39" s="76"/>
      <c r="X39" s="76"/>
      <c r="Y39" s="77"/>
    </row>
    <row r="40" spans="2:25" ht="12.75">
      <c r="B40" s="509"/>
      <c r="C40" s="45"/>
      <c r="D40" s="83"/>
      <c r="E40" s="46"/>
      <c r="F40" s="46"/>
      <c r="G40" s="45"/>
      <c r="H40" s="46"/>
      <c r="I40" s="46"/>
      <c r="J40" s="47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7"/>
    </row>
    <row r="41" spans="2:25" ht="12.75">
      <c r="B41" s="202" t="s">
        <v>142</v>
      </c>
      <c r="C41" s="203"/>
      <c r="D41" s="204"/>
      <c r="E41" s="203"/>
      <c r="F41" s="203"/>
      <c r="G41" s="207" t="s">
        <v>188</v>
      </c>
      <c r="H41" s="205">
        <f>SUM(H$2:H$24)/20</f>
        <v>85.131</v>
      </c>
      <c r="I41" s="205"/>
      <c r="J41" s="33">
        <f>SUM(J$2:J$24)/25</f>
        <v>0.6531999999999999</v>
      </c>
      <c r="K41" s="205">
        <f>SUM(K$2:K$24)/20</f>
        <v>65.312</v>
      </c>
      <c r="L41" s="205">
        <f>SUM(L$2:L$24)/20</f>
        <v>77.75750000000001</v>
      </c>
      <c r="M41" s="205">
        <f>SUM(M$2:M$24)/20</f>
        <v>72.8095</v>
      </c>
      <c r="N41" s="205">
        <f aca="true" t="shared" si="7" ref="N41:Y41">SUM(N$2:N$24)/20</f>
        <v>85.32149999999999</v>
      </c>
      <c r="O41" s="205">
        <f t="shared" si="7"/>
        <v>67.26599999999999</v>
      </c>
      <c r="P41" s="205">
        <f t="shared" si="7"/>
        <v>72.86</v>
      </c>
      <c r="Q41" s="205">
        <f t="shared" si="7"/>
        <v>75.9505</v>
      </c>
      <c r="R41" s="205">
        <f t="shared" si="7"/>
        <v>94.24749999999999</v>
      </c>
      <c r="S41" s="205">
        <f t="shared" si="7"/>
        <v>19.512499999999996</v>
      </c>
      <c r="T41" s="205">
        <f t="shared" si="7"/>
        <v>25.237000000000005</v>
      </c>
      <c r="U41" s="205">
        <f t="shared" si="7"/>
        <v>24.586499999999997</v>
      </c>
      <c r="V41" s="205">
        <f t="shared" si="7"/>
        <v>48.28599999999999</v>
      </c>
      <c r="W41" s="205">
        <f t="shared" si="7"/>
        <v>49.748</v>
      </c>
      <c r="X41" s="205">
        <f t="shared" si="7"/>
        <v>1.15</v>
      </c>
      <c r="Y41" s="206">
        <f t="shared" si="7"/>
        <v>21.4035</v>
      </c>
    </row>
    <row r="42" spans="2:25" ht="12.75">
      <c r="B42" s="200"/>
      <c r="C42" s="1"/>
      <c r="D42" s="201"/>
      <c r="E42" s="1"/>
      <c r="F42" s="1"/>
      <c r="G42" s="1"/>
      <c r="H42" s="1"/>
      <c r="I42" s="1"/>
      <c r="J42" s="1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pans="11:28" ht="12.75">
      <c r="K43" s="128">
        <v>40490</v>
      </c>
      <c r="L43" s="128">
        <f>L48-14</f>
        <v>40491</v>
      </c>
      <c r="M43" s="128">
        <f>M48-14</f>
        <v>40492</v>
      </c>
      <c r="N43" s="128">
        <f>N48-14</f>
        <v>40493</v>
      </c>
      <c r="O43" s="128">
        <f>O48-14</f>
        <v>40494</v>
      </c>
      <c r="P43" s="34"/>
      <c r="Q43" s="127">
        <f>O43+3</f>
        <v>40497</v>
      </c>
      <c r="R43" s="126">
        <f>Q43+1</f>
        <v>40498</v>
      </c>
      <c r="S43" s="126">
        <f>R43+1</f>
        <v>40499</v>
      </c>
      <c r="T43" s="126">
        <f>S43+1</f>
        <v>40500</v>
      </c>
      <c r="U43" s="126">
        <f>T43+1</f>
        <v>40501</v>
      </c>
      <c r="W43" s="138"/>
      <c r="X43" s="138"/>
      <c r="Y43" s="138"/>
      <c r="Z43" s="138"/>
      <c r="AA43" s="138"/>
      <c r="AB43" s="1"/>
    </row>
    <row r="44" spans="8:28" ht="12.75">
      <c r="H44" s="511" t="s">
        <v>65</v>
      </c>
      <c r="I44" s="511"/>
      <c r="J44" s="512"/>
      <c r="K44" s="121"/>
      <c r="L44" s="120"/>
      <c r="M44" s="120" t="s">
        <v>38</v>
      </c>
      <c r="N44" s="120" t="s">
        <v>29</v>
      </c>
      <c r="O44" s="174" t="s">
        <v>34</v>
      </c>
      <c r="P44" s="97"/>
      <c r="Q44" s="175" t="s">
        <v>35</v>
      </c>
      <c r="R44" s="176" t="s">
        <v>30</v>
      </c>
      <c r="S44" s="120" t="s">
        <v>38</v>
      </c>
      <c r="T44" s="176" t="s">
        <v>59</v>
      </c>
      <c r="U44" s="177" t="s">
        <v>62</v>
      </c>
      <c r="W44" s="1"/>
      <c r="X44" s="1"/>
      <c r="Y44" s="1"/>
      <c r="Z44" s="1"/>
      <c r="AA44" s="1"/>
      <c r="AB44" s="1"/>
    </row>
    <row r="45" spans="8:28" ht="12.75">
      <c r="H45" s="511" t="s">
        <v>93</v>
      </c>
      <c r="I45" s="511"/>
      <c r="J45" s="512"/>
      <c r="K45" s="121"/>
      <c r="L45" s="120"/>
      <c r="M45" s="120" t="s">
        <v>38</v>
      </c>
      <c r="N45" s="120" t="s">
        <v>61</v>
      </c>
      <c r="O45" s="174" t="s">
        <v>34</v>
      </c>
      <c r="P45" s="97"/>
      <c r="Q45" s="121" t="s">
        <v>35</v>
      </c>
      <c r="R45" s="85" t="s">
        <v>30</v>
      </c>
      <c r="S45" s="120" t="s">
        <v>38</v>
      </c>
      <c r="T45" s="85" t="s">
        <v>59</v>
      </c>
      <c r="U45" s="174" t="s">
        <v>62</v>
      </c>
      <c r="W45" s="1"/>
      <c r="X45" s="1"/>
      <c r="Y45" s="1"/>
      <c r="Z45" s="1"/>
      <c r="AA45" s="1"/>
      <c r="AB45" s="1"/>
    </row>
    <row r="46" spans="8:28" ht="12.75">
      <c r="H46" s="511" t="s">
        <v>64</v>
      </c>
      <c r="I46" s="511"/>
      <c r="J46" s="512"/>
      <c r="K46" s="121"/>
      <c r="L46" s="120"/>
      <c r="M46" s="120" t="s">
        <v>38</v>
      </c>
      <c r="N46" s="120" t="s">
        <v>61</v>
      </c>
      <c r="O46" s="174" t="s">
        <v>34</v>
      </c>
      <c r="P46" s="97"/>
      <c r="Q46" s="121" t="s">
        <v>35</v>
      </c>
      <c r="R46" s="85" t="s">
        <v>30</v>
      </c>
      <c r="S46" s="120" t="s">
        <v>38</v>
      </c>
      <c r="T46" s="85" t="s">
        <v>59</v>
      </c>
      <c r="U46" s="174" t="s">
        <v>62</v>
      </c>
      <c r="W46" s="1"/>
      <c r="X46" s="1"/>
      <c r="Y46" s="1"/>
      <c r="Z46" s="1"/>
      <c r="AA46" s="1"/>
      <c r="AB46" s="1"/>
    </row>
    <row r="47" spans="8:28" ht="12.75">
      <c r="H47" s="511" t="s">
        <v>94</v>
      </c>
      <c r="I47" s="511"/>
      <c r="J47" s="512"/>
      <c r="K47" s="136"/>
      <c r="L47" s="137"/>
      <c r="M47" s="137" t="s">
        <v>38</v>
      </c>
      <c r="N47" s="137" t="s">
        <v>61</v>
      </c>
      <c r="O47" s="178" t="s">
        <v>34</v>
      </c>
      <c r="P47" s="97"/>
      <c r="Q47" s="136" t="s">
        <v>35</v>
      </c>
      <c r="R47" s="134" t="s">
        <v>30</v>
      </c>
      <c r="S47" s="137" t="s">
        <v>38</v>
      </c>
      <c r="T47" s="134" t="s">
        <v>59</v>
      </c>
      <c r="U47" s="178" t="s">
        <v>62</v>
      </c>
      <c r="W47" s="1"/>
      <c r="X47" s="1"/>
      <c r="Y47" s="1"/>
      <c r="Z47" s="1"/>
      <c r="AA47" s="1"/>
      <c r="AB47" s="1"/>
    </row>
    <row r="48" spans="11:23" ht="12.75">
      <c r="K48" s="179">
        <f>K43+14</f>
        <v>40504</v>
      </c>
      <c r="L48" s="179">
        <f>K48+1</f>
        <v>40505</v>
      </c>
      <c r="M48" s="181">
        <f>L48+1</f>
        <v>40506</v>
      </c>
      <c r="N48" s="179">
        <f>M48+1</f>
        <v>40507</v>
      </c>
      <c r="O48" s="179">
        <f>N48+1</f>
        <v>40508</v>
      </c>
      <c r="P48" s="97"/>
      <c r="Q48" s="179">
        <f>O48+3</f>
        <v>40511</v>
      </c>
      <c r="R48" s="179">
        <f>Q48+1</f>
        <v>40512</v>
      </c>
      <c r="S48" s="181">
        <f>R48+1</f>
        <v>40513</v>
      </c>
      <c r="T48" s="179">
        <f>S48+1</f>
        <v>40514</v>
      </c>
      <c r="U48" s="179">
        <f>T48+1</f>
        <v>40515</v>
      </c>
      <c r="W48" s="126">
        <v>40483</v>
      </c>
    </row>
    <row r="49" spans="8:23" ht="12.75">
      <c r="H49" s="511" t="s">
        <v>65</v>
      </c>
      <c r="I49" s="511"/>
      <c r="J49" s="512"/>
      <c r="K49" s="129" t="s">
        <v>60</v>
      </c>
      <c r="L49" s="130" t="s">
        <v>58</v>
      </c>
      <c r="M49" s="120" t="s">
        <v>38</v>
      </c>
      <c r="N49" s="130" t="s">
        <v>56</v>
      </c>
      <c r="O49" s="131" t="s">
        <v>36</v>
      </c>
      <c r="P49" s="97"/>
      <c r="Q49" s="129" t="s">
        <v>63</v>
      </c>
      <c r="R49" s="130" t="s">
        <v>58</v>
      </c>
      <c r="S49" s="120" t="s">
        <v>38</v>
      </c>
      <c r="T49" s="130"/>
      <c r="U49" s="131"/>
      <c r="V49" s="97"/>
      <c r="W49" s="85"/>
    </row>
    <row r="50" spans="8:23" ht="12.75">
      <c r="H50" s="511" t="s">
        <v>93</v>
      </c>
      <c r="I50" s="511"/>
      <c r="J50" s="512"/>
      <c r="K50" s="132" t="s">
        <v>60</v>
      </c>
      <c r="L50" s="85" t="s">
        <v>58</v>
      </c>
      <c r="M50" s="120" t="s">
        <v>38</v>
      </c>
      <c r="N50" s="85" t="s">
        <v>55</v>
      </c>
      <c r="O50" s="133" t="s">
        <v>36</v>
      </c>
      <c r="P50" s="97"/>
      <c r="Q50" s="132" t="s">
        <v>63</v>
      </c>
      <c r="R50" s="85" t="s">
        <v>57</v>
      </c>
      <c r="S50" s="120" t="s">
        <v>38</v>
      </c>
      <c r="T50" s="85"/>
      <c r="U50" s="133"/>
      <c r="V50" s="97"/>
      <c r="W50" s="97"/>
    </row>
    <row r="51" spans="8:23" ht="12.75">
      <c r="H51" s="511" t="s">
        <v>64</v>
      </c>
      <c r="I51" s="511"/>
      <c r="J51" s="512"/>
      <c r="K51" s="132" t="s">
        <v>60</v>
      </c>
      <c r="L51" s="85" t="s">
        <v>58</v>
      </c>
      <c r="M51" s="120" t="s">
        <v>38</v>
      </c>
      <c r="N51" s="85" t="s">
        <v>55</v>
      </c>
      <c r="O51" s="133" t="s">
        <v>36</v>
      </c>
      <c r="P51" s="97"/>
      <c r="Q51" s="132" t="s">
        <v>63</v>
      </c>
      <c r="R51" s="85" t="s">
        <v>57</v>
      </c>
      <c r="S51" s="120" t="s">
        <v>38</v>
      </c>
      <c r="T51" s="85"/>
      <c r="U51" s="133"/>
      <c r="V51" s="97"/>
      <c r="W51" s="97"/>
    </row>
    <row r="52" spans="8:23" ht="12.75">
      <c r="H52" s="511" t="s">
        <v>94</v>
      </c>
      <c r="I52" s="511"/>
      <c r="J52" s="512"/>
      <c r="K52" s="180" t="s">
        <v>60</v>
      </c>
      <c r="L52" s="134" t="s">
        <v>58</v>
      </c>
      <c r="M52" s="137" t="s">
        <v>38</v>
      </c>
      <c r="N52" s="134" t="s">
        <v>55</v>
      </c>
      <c r="O52" s="135" t="s">
        <v>36</v>
      </c>
      <c r="P52" s="97"/>
      <c r="Q52" s="136" t="s">
        <v>63</v>
      </c>
      <c r="R52" s="137" t="s">
        <v>57</v>
      </c>
      <c r="S52" s="137" t="s">
        <v>38</v>
      </c>
      <c r="T52" s="134"/>
      <c r="U52" s="135"/>
      <c r="V52" s="97"/>
      <c r="W52" s="97"/>
    </row>
  </sheetData>
  <sheetProtection/>
  <autoFilter ref="A1:AI26">
    <sortState ref="A2:AI52">
      <sortCondition customList="MEN,ARR,AIL,PIV" ref="F2:F52"/>
      <sortCondition descending="1" sortBy="value" ref="G2:G52"/>
    </sortState>
  </autoFilter>
  <mergeCells count="18">
    <mergeCell ref="AA34:AB34"/>
    <mergeCell ref="AA33:AB33"/>
    <mergeCell ref="AA32:AB32"/>
    <mergeCell ref="AA31:AB31"/>
    <mergeCell ref="AA30:AB30"/>
    <mergeCell ref="AA29:AB29"/>
    <mergeCell ref="H49:J49"/>
    <mergeCell ref="H50:J50"/>
    <mergeCell ref="H51:J51"/>
    <mergeCell ref="H52:J52"/>
    <mergeCell ref="B38:B40"/>
    <mergeCell ref="B35:B37"/>
    <mergeCell ref="B32:B34"/>
    <mergeCell ref="B29:B31"/>
    <mergeCell ref="H44:J44"/>
    <mergeCell ref="H45:J45"/>
    <mergeCell ref="H46:J46"/>
    <mergeCell ref="H47:J47"/>
  </mergeCells>
  <conditionalFormatting sqref="J2:J26">
    <cfRule type="cellIs" priority="1" dxfId="7" operator="lessThanOrEqual" stopIfTrue="1">
      <formula>0.65</formula>
    </cfRule>
  </conditionalFormatting>
  <hyperlinks>
    <hyperlink ref="C28" r:id="rId1" display="http://www.5manager.com/ClubHouse.php?page=equipe_effectif.php&amp;name=2b733ae502f6f2d0034e71642f4b6f73"/>
    <hyperlink ref="D28" r:id="rId2" display="http://www.5manager.com/ClubHouse.php?page=equipe_effectif.php&amp;name=2b733ae502f6f2d0034e71642f4b6f73"/>
    <hyperlink ref="J28" r:id="rId3" display="http://www.5manager.com/ClubHouse.php?page=equipe_effectif.php&amp;name=2b733ae502f6f2d0034e71642f4b6f73"/>
    <hyperlink ref="K28" r:id="rId4" display="http://www.5manager.com/ClubHouse.php?page=equipe_effectif.php&amp;name=2b733ae502f6f2d0034e71642f4b6f73"/>
    <hyperlink ref="L28" r:id="rId5" display="http://www.5manager.com/ClubHouse.php?page=equipe_effectif.php&amp;name=2b733ae502f6f2d0034e71642f4b6f73"/>
    <hyperlink ref="M28" r:id="rId6" display="http://www.5manager.com/ClubHouse.php?page=equipe_effectif.php&amp;name=2b733ae502f6f2d0034e71642f4b6f73"/>
    <hyperlink ref="N28" r:id="rId7" display="http://www.5manager.com/ClubHouse.php?page=equipe_effectif.php&amp;name=2b733ae502f6f2d0034e71642f4b6f73"/>
    <hyperlink ref="O28" r:id="rId8" display="http://www.5manager.com/ClubHouse.php?page=equipe_effectif.php&amp;name=2b733ae502f6f2d0034e71642f4b6f73"/>
    <hyperlink ref="P28" r:id="rId9" display="http://www.5manager.com/ClubHouse.php?page=equipe_effectif.php&amp;name=2b733ae502f6f2d0034e71642f4b6f73"/>
    <hyperlink ref="Q28" r:id="rId10" display="http://www.5manager.com/ClubHouse.php?page=equipe_effectif.php&amp;name=2b733ae502f6f2d0034e71642f4b6f73"/>
    <hyperlink ref="R28" r:id="rId11" display="http://www.5manager.com/ClubHouse.php?page=equipe_effectif.php&amp;name=2b733ae502f6f2d0034e71642f4b6f73"/>
    <hyperlink ref="S28" r:id="rId12" display="http://www.5manager.com/ClubHouse.php?page=equipe_effectif.php&amp;name=2b733ae502f6f2d0034e71642f4b6f73"/>
    <hyperlink ref="T28" r:id="rId13" display="http://www.5manager.com/ClubHouse.php?page=equipe_effectif.php&amp;name=2b733ae502f6f2d0034e71642f4b6f73"/>
    <hyperlink ref="U28" r:id="rId14" display="http://www.5manager.com/ClubHouse.php?page=equipe_effectif.php&amp;name=2b733ae502f6f2d0034e71642f4b6f73"/>
    <hyperlink ref="V28" r:id="rId15" display="http://www.5manager.com/ClubHouse.php?page=equipe_effectif.php&amp;name=2b733ae502f6f2d0034e71642f4b6f73"/>
    <hyperlink ref="W28" r:id="rId16" display="http://www.5manager.com/ClubHouse.php?page=equipe_effectif.php&amp;name=2b733ae502f6f2d0034e71642f4b6f73"/>
    <hyperlink ref="X28" r:id="rId17" display="http://www.5manager.com/ClubHouse.php?page=equipe_effectif.php&amp;name=2b733ae502f6f2d0034e71642f4b6f73"/>
    <hyperlink ref="Y28" r:id="rId18" display="http://www.5manager.com/ClubHouse.php?page=equipe_effectif.php&amp;name=2b733ae502f6f2d0034e71642f4b6f73"/>
  </hyperlinks>
  <printOptions/>
  <pageMargins left="0.787401575" right="0.787401575" top="0.984251969" bottom="0.984251969" header="0.4921259845" footer="0.4921259845"/>
  <pageSetup horizontalDpi="600" verticalDpi="600" orientation="portrait" paperSize="9" r:id="rId20"/>
  <legacyDrawing r:id="rId1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/>
  <dimension ref="A1:V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19.8515625" style="0" customWidth="1"/>
    <col min="3" max="3" width="5.8515625" style="0" bestFit="1" customWidth="1"/>
    <col min="4" max="4" width="4.28125" style="0" bestFit="1" customWidth="1"/>
    <col min="5" max="5" width="6.140625" style="0" bestFit="1" customWidth="1"/>
    <col min="6" max="6" width="5.57421875" style="0" bestFit="1" customWidth="1"/>
    <col min="7" max="7" width="6.8515625" style="0" bestFit="1" customWidth="1"/>
    <col min="8" max="22" width="6.57421875" style="0" customWidth="1"/>
    <col min="23" max="24" width="4.421875" style="0" bestFit="1" customWidth="1"/>
  </cols>
  <sheetData>
    <row r="1" ht="39.75" customHeight="1">
      <c r="A1" s="97"/>
    </row>
    <row r="2" spans="1:22" ht="12.75">
      <c r="A2" s="79">
        <f ca="1">TODAY()</f>
        <v>40774</v>
      </c>
      <c r="B2" s="16" t="s">
        <v>21</v>
      </c>
      <c r="C2" s="17" t="s">
        <v>3</v>
      </c>
      <c r="D2" s="50" t="s">
        <v>0</v>
      </c>
      <c r="E2" s="18" t="s">
        <v>22</v>
      </c>
      <c r="F2" s="18" t="s">
        <v>23</v>
      </c>
      <c r="G2" s="18" t="s">
        <v>24</v>
      </c>
      <c r="H2" s="18" t="s">
        <v>55</v>
      </c>
      <c r="I2" s="18" t="s">
        <v>35</v>
      </c>
      <c r="J2" s="18" t="s">
        <v>56</v>
      </c>
      <c r="K2" s="18" t="s">
        <v>36</v>
      </c>
      <c r="L2" s="18" t="s">
        <v>29</v>
      </c>
      <c r="M2" s="18" t="s">
        <v>57</v>
      </c>
      <c r="N2" s="18" t="s">
        <v>63</v>
      </c>
      <c r="O2" s="18" t="s">
        <v>58</v>
      </c>
      <c r="P2" s="18" t="s">
        <v>59</v>
      </c>
      <c r="Q2" s="18" t="s">
        <v>60</v>
      </c>
      <c r="R2" s="18" t="s">
        <v>34</v>
      </c>
      <c r="S2" s="18" t="s">
        <v>61</v>
      </c>
      <c r="T2" s="18" t="s">
        <v>30</v>
      </c>
      <c r="U2" s="18" t="s">
        <v>38</v>
      </c>
      <c r="V2" s="18" t="s">
        <v>62</v>
      </c>
    </row>
  </sheetData>
  <sheetProtection/>
  <hyperlinks>
    <hyperlink ref="C2" r:id="rId1" display="http://www.5manager.com/ClubHouse.php?page=equipe_effectif.php&amp;name=2b733ae502f6f2d0034e71642f4b6f73"/>
    <hyperlink ref="D2" r:id="rId2" display="http://www.5manager.com/ClubHouse.php?page=equipe_effectif.php&amp;name=2b733ae502f6f2d0034e71642f4b6f73"/>
    <hyperlink ref="G2" r:id="rId3" display="http://www.5manager.com/ClubHouse.php?page=equipe_effectif.php&amp;name=2b733ae502f6f2d0034e71642f4b6f73"/>
    <hyperlink ref="H2" r:id="rId4" display="http://www.5manager.com/ClubHouse.php?page=equipe_effectif.php&amp;name=2b733ae502f6f2d0034e71642f4b6f73"/>
    <hyperlink ref="I2" r:id="rId5" display="http://www.5manager.com/ClubHouse.php?page=equipe_effectif.php&amp;name=2b733ae502f6f2d0034e71642f4b6f73"/>
    <hyperlink ref="J2" r:id="rId6" display="http://www.5manager.com/ClubHouse.php?page=equipe_effectif.php&amp;name=2b733ae502f6f2d0034e71642f4b6f73"/>
    <hyperlink ref="K2" r:id="rId7" display="http://www.5manager.com/ClubHouse.php?page=equipe_effectif.php&amp;name=2b733ae502f6f2d0034e71642f4b6f73"/>
    <hyperlink ref="L2" r:id="rId8" display="http://www.5manager.com/ClubHouse.php?page=equipe_effectif.php&amp;name=2b733ae502f6f2d0034e71642f4b6f73"/>
    <hyperlink ref="M2" r:id="rId9" display="http://www.5manager.com/ClubHouse.php?page=equipe_effectif.php&amp;name=2b733ae502f6f2d0034e71642f4b6f73"/>
    <hyperlink ref="N2" r:id="rId10" display="http://www.5manager.com/ClubHouse.php?page=equipe_effectif.php&amp;name=2b733ae502f6f2d0034e71642f4b6f73"/>
    <hyperlink ref="O2" r:id="rId11" display="http://www.5manager.com/ClubHouse.php?page=equipe_effectif.php&amp;name=2b733ae502f6f2d0034e71642f4b6f73"/>
    <hyperlink ref="P2" r:id="rId12" display="http://www.5manager.com/ClubHouse.php?page=equipe_effectif.php&amp;name=2b733ae502f6f2d0034e71642f4b6f73"/>
    <hyperlink ref="Q2" r:id="rId13" display="http://www.5manager.com/ClubHouse.php?page=equipe_effectif.php&amp;name=2b733ae502f6f2d0034e71642f4b6f73"/>
    <hyperlink ref="R2" r:id="rId14" display="http://www.5manager.com/ClubHouse.php?page=equipe_effectif.php&amp;name=2b733ae502f6f2d0034e71642f4b6f73"/>
    <hyperlink ref="S2" r:id="rId15" display="http://www.5manager.com/ClubHouse.php?page=equipe_effectif.php&amp;name=2b733ae502f6f2d0034e71642f4b6f73"/>
    <hyperlink ref="T2" r:id="rId16" display="http://www.5manager.com/ClubHouse.php?page=equipe_effectif.php&amp;name=2b733ae502f6f2d0034e71642f4b6f73"/>
    <hyperlink ref="U2" r:id="rId17" display="http://www.5manager.com/ClubHouse.php?page=equipe_effectif.php&amp;name=2b733ae502f6f2d0034e71642f4b6f73"/>
    <hyperlink ref="V2" r:id="rId18" display="http://www.5manager.com/ClubHouse.php?page=equipe_effectif.php&amp;name=2b733ae502f6f2d0034e71642f4b6f73"/>
  </hyperlinks>
  <printOptions/>
  <pageMargins left="0.787401575" right="0.787401575" top="0.984251969" bottom="0.984251969" header="0.4921259845" footer="0.4921259845"/>
  <pageSetup horizontalDpi="600" verticalDpi="600" orientation="portrait" paperSize="9" r:id="rId20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1"/>
  <dimension ref="A1:AO69"/>
  <sheetViews>
    <sheetView zoomScalePageLayoutView="0" workbookViewId="0" topLeftCell="A1">
      <pane xSplit="12" ySplit="1" topLeftCell="M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19" sqref="I19"/>
    </sheetView>
  </sheetViews>
  <sheetFormatPr defaultColWidth="11.421875" defaultRowHeight="12.75"/>
  <cols>
    <col min="2" max="2" width="12.421875" style="0" bestFit="1" customWidth="1"/>
    <col min="3" max="3" width="5.00390625" style="0" customWidth="1"/>
    <col min="4" max="4" width="5.421875" style="0" customWidth="1"/>
    <col min="5" max="5" width="5.8515625" style="0" bestFit="1" customWidth="1"/>
    <col min="6" max="6" width="7.28125" style="53" customWidth="1"/>
    <col min="7" max="7" width="4.28125" style="0" customWidth="1"/>
    <col min="8" max="8" width="6.8515625" style="88" bestFit="1" customWidth="1"/>
    <col min="9" max="9" width="7.00390625" style="0" bestFit="1" customWidth="1"/>
    <col min="10" max="11" width="7.28125" style="0" customWidth="1"/>
    <col min="12" max="12" width="7.8515625" style="0" customWidth="1"/>
    <col min="13" max="29" width="5.7109375" style="0" customWidth="1"/>
    <col min="30" max="30" width="6.140625" style="0" bestFit="1" customWidth="1"/>
    <col min="31" max="31" width="4.28125" style="0" bestFit="1" customWidth="1"/>
    <col min="32" max="32" width="4.421875" style="0" bestFit="1" customWidth="1"/>
    <col min="33" max="33" width="7.00390625" style="0" bestFit="1" customWidth="1"/>
    <col min="34" max="34" width="2.7109375" style="0" customWidth="1"/>
    <col min="35" max="35" width="8.7109375" style="0" bestFit="1" customWidth="1"/>
    <col min="36" max="37" width="10.28125" style="0" bestFit="1" customWidth="1"/>
    <col min="38" max="38" width="5.57421875" style="0" bestFit="1" customWidth="1"/>
    <col min="39" max="39" width="5.8515625" style="0" bestFit="1" customWidth="1"/>
    <col min="40" max="40" width="4.421875" style="0" bestFit="1" customWidth="1"/>
    <col min="41" max="41" width="5.28125" style="0" bestFit="1" customWidth="1"/>
  </cols>
  <sheetData>
    <row r="1" spans="1:41" s="19" customFormat="1" ht="25.5">
      <c r="A1" s="236">
        <f>35-COUNTIF(A2:A36,"")</f>
        <v>28</v>
      </c>
      <c r="B1" s="437" t="s">
        <v>21</v>
      </c>
      <c r="C1" s="16" t="s">
        <v>174</v>
      </c>
      <c r="D1" s="16" t="s">
        <v>175</v>
      </c>
      <c r="E1" s="18" t="s">
        <v>3</v>
      </c>
      <c r="F1" s="18" t="s">
        <v>0</v>
      </c>
      <c r="G1" s="18" t="s">
        <v>102</v>
      </c>
      <c r="H1" s="18" t="s">
        <v>79</v>
      </c>
      <c r="I1" s="18" t="s">
        <v>22</v>
      </c>
      <c r="J1" s="18" t="s">
        <v>23</v>
      </c>
      <c r="K1" s="18" t="s">
        <v>242</v>
      </c>
      <c r="L1" s="17" t="s">
        <v>24</v>
      </c>
      <c r="M1" s="17" t="s">
        <v>55</v>
      </c>
      <c r="N1" s="17" t="s">
        <v>35</v>
      </c>
      <c r="O1" s="17" t="s">
        <v>56</v>
      </c>
      <c r="P1" s="17" t="s">
        <v>169</v>
      </c>
      <c r="Q1" s="107" t="s">
        <v>29</v>
      </c>
      <c r="R1" s="107" t="s">
        <v>170</v>
      </c>
      <c r="S1" s="107" t="s">
        <v>177</v>
      </c>
      <c r="T1" s="107" t="s">
        <v>178</v>
      </c>
      <c r="U1" s="107" t="s">
        <v>60</v>
      </c>
      <c r="V1" s="107" t="s">
        <v>34</v>
      </c>
      <c r="W1" s="107" t="s">
        <v>61</v>
      </c>
      <c r="X1" s="107" t="s">
        <v>30</v>
      </c>
      <c r="Y1" s="107" t="s">
        <v>179</v>
      </c>
      <c r="Z1" s="107" t="s">
        <v>182</v>
      </c>
      <c r="AA1" s="107" t="s">
        <v>71</v>
      </c>
      <c r="AB1" s="107" t="s">
        <v>180</v>
      </c>
      <c r="AC1" s="107" t="s">
        <v>181</v>
      </c>
      <c r="AD1" s="107" t="s">
        <v>183</v>
      </c>
      <c r="AE1" s="308" t="s">
        <v>184</v>
      </c>
      <c r="AF1" s="309" t="s">
        <v>194</v>
      </c>
      <c r="AG1" s="305" t="s">
        <v>2</v>
      </c>
      <c r="AH1" s="439">
        <v>40664</v>
      </c>
      <c r="AI1" s="305">
        <v>40787</v>
      </c>
      <c r="AJ1" s="305">
        <v>40909</v>
      </c>
      <c r="AK1" s="305">
        <v>41030</v>
      </c>
      <c r="AL1" s="297"/>
      <c r="AM1" s="286"/>
      <c r="AN1" s="296"/>
      <c r="AO1" s="286"/>
    </row>
    <row r="2" spans="1:41" ht="12.75">
      <c r="A2" s="168">
        <v>40774</v>
      </c>
      <c r="B2" s="172" t="s">
        <v>281</v>
      </c>
      <c r="C2" s="361" t="s">
        <v>295</v>
      </c>
      <c r="D2" s="244"/>
      <c r="E2" s="11">
        <v>1</v>
      </c>
      <c r="F2" s="11">
        <v>21</v>
      </c>
      <c r="G2" s="11" t="str">
        <f>IF(F2&lt;22,"E","S")</f>
        <v>E</v>
      </c>
      <c r="H2" s="11" t="str">
        <f aca="true" t="shared" si="0" ref="H2:H32">IF(E2=1,"1GAR","")&amp;IF(E2=2,"4AIL","")&amp;IF(E2=3,"2ARR","")&amp;IF(E2=4,"3DMC","")&amp;IF(E2=5,"5PIV","")&amp;IF(E2=6,"2ARR","")&amp;IF(E2=7,"4AIL","")</f>
        <v>1GAR</v>
      </c>
      <c r="I2" s="11">
        <v>41.64</v>
      </c>
      <c r="J2" s="12">
        <v>100</v>
      </c>
      <c r="K2" s="12">
        <v>0</v>
      </c>
      <c r="L2" s="33">
        <v>0.85</v>
      </c>
      <c r="M2" s="291">
        <v>1</v>
      </c>
      <c r="N2" s="289">
        <v>49.1</v>
      </c>
      <c r="O2" s="289">
        <v>19.25</v>
      </c>
      <c r="P2" s="289">
        <v>21.78</v>
      </c>
      <c r="Q2" s="245">
        <v>9.66</v>
      </c>
      <c r="R2" s="291">
        <v>1</v>
      </c>
      <c r="S2" s="291">
        <v>9.66</v>
      </c>
      <c r="T2" s="291">
        <v>9.66</v>
      </c>
      <c r="U2" s="291">
        <v>10.08</v>
      </c>
      <c r="V2" s="245">
        <v>13.59</v>
      </c>
      <c r="W2" s="291">
        <v>12</v>
      </c>
      <c r="X2" s="290">
        <v>51.58</v>
      </c>
      <c r="Y2" s="245">
        <v>2.75</v>
      </c>
      <c r="Z2" s="245">
        <v>2.33</v>
      </c>
      <c r="AA2" s="290">
        <v>80.38</v>
      </c>
      <c r="AB2" s="290">
        <v>50.97</v>
      </c>
      <c r="AC2" s="290">
        <v>53.1</v>
      </c>
      <c r="AD2" s="263">
        <f>N2*0.03+O2*0.04+P2*0.04+Q2*0.06+V2*0.08+X2*0.14+Y2*0.07+Z2*0.07+AA2*0.17+AB2*0.17+AC2*0.13</f>
        <v>41.590300000000006</v>
      </c>
      <c r="AE2" s="310"/>
      <c r="AF2" s="310">
        <v>1</v>
      </c>
      <c r="AG2" s="415">
        <v>1314</v>
      </c>
      <c r="AH2" s="440" t="s">
        <v>239</v>
      </c>
      <c r="AI2" s="302" t="s">
        <v>239</v>
      </c>
      <c r="AJ2" s="300" t="s">
        <v>238</v>
      </c>
      <c r="AK2" s="300" t="s">
        <v>238</v>
      </c>
      <c r="AL2" s="288"/>
      <c r="AM2" s="288"/>
      <c r="AN2" s="288"/>
      <c r="AO2" s="288"/>
    </row>
    <row r="3" spans="1:41" ht="12.75">
      <c r="A3" s="168">
        <v>40774</v>
      </c>
      <c r="B3" s="172" t="s">
        <v>273</v>
      </c>
      <c r="C3" s="394" t="s">
        <v>295</v>
      </c>
      <c r="D3" s="81"/>
      <c r="E3" s="38">
        <v>1</v>
      </c>
      <c r="F3" s="11">
        <v>26</v>
      </c>
      <c r="G3" s="11" t="str">
        <f>IF(F3&lt;22,"E","S")</f>
        <v>S</v>
      </c>
      <c r="H3" s="11" t="str">
        <f t="shared" si="0"/>
        <v>1GAR</v>
      </c>
      <c r="I3" s="11">
        <v>38.75</v>
      </c>
      <c r="J3" s="12">
        <v>100</v>
      </c>
      <c r="K3" s="12">
        <v>5</v>
      </c>
      <c r="L3" s="33">
        <v>0.71</v>
      </c>
      <c r="M3" s="291">
        <v>1</v>
      </c>
      <c r="N3" s="289">
        <v>12.04</v>
      </c>
      <c r="O3" s="289">
        <v>14.53</v>
      </c>
      <c r="P3" s="289">
        <v>13.55</v>
      </c>
      <c r="Q3" s="245">
        <v>1</v>
      </c>
      <c r="R3" s="291">
        <v>1</v>
      </c>
      <c r="S3" s="291">
        <v>1</v>
      </c>
      <c r="T3" s="291">
        <v>1</v>
      </c>
      <c r="U3" s="291">
        <v>1</v>
      </c>
      <c r="V3" s="245">
        <v>1.82</v>
      </c>
      <c r="W3" s="291">
        <v>1.74</v>
      </c>
      <c r="X3" s="290">
        <v>27.21</v>
      </c>
      <c r="Y3" s="245">
        <v>1.31</v>
      </c>
      <c r="Z3" s="245">
        <v>3.62</v>
      </c>
      <c r="AA3" s="290">
        <v>85.2</v>
      </c>
      <c r="AB3" s="290">
        <v>68.8</v>
      </c>
      <c r="AC3" s="290">
        <v>50.92</v>
      </c>
      <c r="AD3" s="263">
        <f>N3*0.03+O3*0.04+P3*0.04+Q3*0.06+V3*0.08+X3*0.14+Y3*0.07+Z3*0.07+AA3*0.17+AB3*0.17+AC3*0.13</f>
        <v>38.6441</v>
      </c>
      <c r="AE3" s="310">
        <v>8</v>
      </c>
      <c r="AF3" s="414"/>
      <c r="AG3" s="416">
        <v>955</v>
      </c>
      <c r="AH3" s="441" t="s">
        <v>238</v>
      </c>
      <c r="AI3" s="300" t="s">
        <v>238</v>
      </c>
      <c r="AJ3" s="301" t="s">
        <v>265</v>
      </c>
      <c r="AK3" s="301" t="s">
        <v>265</v>
      </c>
      <c r="AL3" s="288"/>
      <c r="AM3" s="288"/>
      <c r="AN3" s="288"/>
      <c r="AO3" s="288"/>
    </row>
    <row r="4" spans="1:41" ht="12.75">
      <c r="A4" s="168">
        <v>40774</v>
      </c>
      <c r="B4" s="172" t="s">
        <v>280</v>
      </c>
      <c r="C4" s="394" t="s">
        <v>295</v>
      </c>
      <c r="D4" s="81"/>
      <c r="E4" s="38">
        <v>1</v>
      </c>
      <c r="F4" s="11">
        <v>20</v>
      </c>
      <c r="G4" s="11" t="str">
        <f>IF(F4&lt;22,"E","S")</f>
        <v>E</v>
      </c>
      <c r="H4" s="11" t="str">
        <f t="shared" si="0"/>
        <v>1GAR</v>
      </c>
      <c r="I4" s="11">
        <v>28.25</v>
      </c>
      <c r="J4" s="12">
        <v>67.17</v>
      </c>
      <c r="K4" s="12">
        <v>0</v>
      </c>
      <c r="L4" s="33">
        <v>0.9</v>
      </c>
      <c r="M4" s="291">
        <v>1</v>
      </c>
      <c r="N4" s="289">
        <v>39.8</v>
      </c>
      <c r="O4" s="289">
        <v>15.48</v>
      </c>
      <c r="P4" s="289">
        <v>19.61</v>
      </c>
      <c r="Q4" s="245">
        <v>9.66</v>
      </c>
      <c r="R4" s="291">
        <v>1</v>
      </c>
      <c r="S4" s="291">
        <v>9.66</v>
      </c>
      <c r="T4" s="291">
        <v>9.66</v>
      </c>
      <c r="U4" s="291">
        <v>9.66</v>
      </c>
      <c r="V4" s="245">
        <v>13.59</v>
      </c>
      <c r="W4" s="291">
        <v>11.75</v>
      </c>
      <c r="X4" s="290">
        <v>40.17</v>
      </c>
      <c r="Y4" s="245">
        <v>4.9</v>
      </c>
      <c r="Z4" s="245">
        <v>2.37</v>
      </c>
      <c r="AA4" s="290">
        <v>47.39</v>
      </c>
      <c r="AB4" s="290">
        <v>30.55</v>
      </c>
      <c r="AC4" s="290">
        <v>35.47</v>
      </c>
      <c r="AD4" s="263">
        <f>N4*0.03+O4*0.04+P4*0.04+Q4*0.06+V4*0.08+X4*0.14+Y4*0.07+Z4*0.07+AA4*0.17+AB4*0.17+AC4*0.13</f>
        <v>28.258000000000003</v>
      </c>
      <c r="AE4" s="310"/>
      <c r="AF4" s="310">
        <v>8</v>
      </c>
      <c r="AG4" s="416">
        <v>0</v>
      </c>
      <c r="AH4" s="442" t="s">
        <v>241</v>
      </c>
      <c r="AI4" s="303" t="s">
        <v>241</v>
      </c>
      <c r="AJ4" s="302" t="s">
        <v>239</v>
      </c>
      <c r="AK4" s="300" t="s">
        <v>238</v>
      </c>
      <c r="AL4" s="288"/>
      <c r="AM4" s="288"/>
      <c r="AN4" s="288"/>
      <c r="AO4" s="288"/>
    </row>
    <row r="5" spans="1:41" ht="12.75">
      <c r="A5" s="168">
        <v>40774</v>
      </c>
      <c r="B5" s="172" t="s">
        <v>282</v>
      </c>
      <c r="C5" s="361" t="s">
        <v>295</v>
      </c>
      <c r="D5" s="81"/>
      <c r="E5" s="38">
        <v>1</v>
      </c>
      <c r="F5" s="11">
        <v>21</v>
      </c>
      <c r="G5" s="402" t="s">
        <v>383</v>
      </c>
      <c r="H5" s="11" t="str">
        <f t="shared" si="0"/>
        <v>1GAR</v>
      </c>
      <c r="I5" s="11">
        <v>23.29</v>
      </c>
      <c r="J5" s="12">
        <v>38.03</v>
      </c>
      <c r="K5" s="12">
        <v>0</v>
      </c>
      <c r="L5" s="33">
        <v>0.92</v>
      </c>
      <c r="M5" s="291">
        <v>1</v>
      </c>
      <c r="N5" s="289">
        <v>24.52</v>
      </c>
      <c r="O5" s="289">
        <v>8.86</v>
      </c>
      <c r="P5" s="289">
        <v>11.17</v>
      </c>
      <c r="Q5" s="245">
        <v>7.38</v>
      </c>
      <c r="R5" s="291">
        <v>1</v>
      </c>
      <c r="S5" s="291">
        <v>7.38</v>
      </c>
      <c r="T5" s="291">
        <v>7.38</v>
      </c>
      <c r="U5" s="291">
        <v>7.38</v>
      </c>
      <c r="V5" s="245">
        <v>14.08</v>
      </c>
      <c r="W5" s="291">
        <v>8.38</v>
      </c>
      <c r="X5" s="290">
        <v>35.25</v>
      </c>
      <c r="Y5" s="245">
        <v>2.98</v>
      </c>
      <c r="Z5" s="245">
        <v>2.91</v>
      </c>
      <c r="AA5" s="290">
        <v>40.23</v>
      </c>
      <c r="AB5" s="290">
        <v>25.92</v>
      </c>
      <c r="AC5" s="290">
        <v>26.79</v>
      </c>
      <c r="AD5" s="263">
        <f>N5*0.03+O5*0.04+P5*0.04+Q5*0.06+V5*0.08+X5*0.14+Y5*0.07+Z5*0.07+AA5*0.17+AB5*0.17+AC5*0.13</f>
        <v>23.181500000000003</v>
      </c>
      <c r="AE5" s="310">
        <v>1</v>
      </c>
      <c r="AF5" s="414"/>
      <c r="AG5" s="416">
        <v>0</v>
      </c>
      <c r="AH5" s="443" t="s">
        <v>265</v>
      </c>
      <c r="AI5" s="317" t="s">
        <v>265</v>
      </c>
      <c r="AJ5" s="286"/>
      <c r="AK5" s="286"/>
      <c r="AL5" s="288"/>
      <c r="AM5" s="288"/>
      <c r="AN5" s="288"/>
      <c r="AO5" s="288"/>
    </row>
    <row r="6" spans="1:41" ht="12.75">
      <c r="A6" s="169">
        <v>40774</v>
      </c>
      <c r="B6" s="172" t="s">
        <v>382</v>
      </c>
      <c r="C6" s="362" t="s">
        <v>220</v>
      </c>
      <c r="D6" s="139"/>
      <c r="E6" s="38">
        <v>6</v>
      </c>
      <c r="F6" s="82">
        <v>26</v>
      </c>
      <c r="G6" s="11" t="str">
        <f aca="true" t="shared" si="1" ref="G6:G29">IF(F6&lt;22,"E","S")</f>
        <v>S</v>
      </c>
      <c r="H6" s="11" t="str">
        <f t="shared" si="0"/>
        <v>2ARR</v>
      </c>
      <c r="I6" s="11">
        <v>55.4</v>
      </c>
      <c r="J6" s="12">
        <v>6.5</v>
      </c>
      <c r="K6" s="12">
        <v>10</v>
      </c>
      <c r="L6" s="33">
        <v>0.86</v>
      </c>
      <c r="M6" s="245">
        <v>80.9</v>
      </c>
      <c r="N6" s="245">
        <v>91.28</v>
      </c>
      <c r="O6" s="245">
        <v>46.51</v>
      </c>
      <c r="P6" s="245">
        <v>131.86</v>
      </c>
      <c r="Q6" s="245">
        <v>89</v>
      </c>
      <c r="R6" s="245">
        <v>49.06</v>
      </c>
      <c r="S6" s="245">
        <v>1.35</v>
      </c>
      <c r="T6" s="245">
        <v>47.11</v>
      </c>
      <c r="U6" s="245">
        <v>53.91</v>
      </c>
      <c r="V6" s="245">
        <v>61.51</v>
      </c>
      <c r="W6" s="245">
        <v>48.76</v>
      </c>
      <c r="X6" s="245">
        <v>53.15</v>
      </c>
      <c r="Y6" s="245">
        <v>31.05</v>
      </c>
      <c r="Z6" s="245">
        <v>50.45</v>
      </c>
      <c r="AA6" s="245">
        <v>1</v>
      </c>
      <c r="AB6" s="245">
        <v>1</v>
      </c>
      <c r="AC6" s="245">
        <v>1</v>
      </c>
      <c r="AD6" s="438" t="s">
        <v>387</v>
      </c>
      <c r="AE6" s="310">
        <v>6</v>
      </c>
      <c r="AF6" s="414"/>
      <c r="AG6" s="416">
        <v>5162</v>
      </c>
      <c r="AH6" s="445"/>
      <c r="AI6" s="300" t="s">
        <v>238</v>
      </c>
      <c r="AJ6" s="300" t="s">
        <v>238</v>
      </c>
      <c r="AK6" s="300" t="s">
        <v>238</v>
      </c>
      <c r="AL6" s="288"/>
      <c r="AM6" s="288"/>
      <c r="AN6" s="288"/>
      <c r="AO6" s="288"/>
    </row>
    <row r="7" spans="1:41" ht="12.75">
      <c r="A7" s="169">
        <v>40774</v>
      </c>
      <c r="B7" s="86" t="s">
        <v>193</v>
      </c>
      <c r="C7" s="361" t="s">
        <v>295</v>
      </c>
      <c r="D7" s="139"/>
      <c r="E7" s="38">
        <v>6</v>
      </c>
      <c r="F7" s="82">
        <v>21</v>
      </c>
      <c r="G7" s="11" t="str">
        <f t="shared" si="1"/>
        <v>E</v>
      </c>
      <c r="H7" s="11" t="str">
        <f t="shared" si="0"/>
        <v>2ARR</v>
      </c>
      <c r="I7" s="11">
        <v>47.33</v>
      </c>
      <c r="J7" s="12">
        <v>100</v>
      </c>
      <c r="K7" s="12">
        <v>2</v>
      </c>
      <c r="L7" s="33">
        <v>0.88</v>
      </c>
      <c r="M7" s="245">
        <v>64.76</v>
      </c>
      <c r="N7" s="245">
        <v>89.63</v>
      </c>
      <c r="O7" s="245">
        <v>26.17</v>
      </c>
      <c r="P7" s="245">
        <v>136.96</v>
      </c>
      <c r="Q7" s="245">
        <v>98.83</v>
      </c>
      <c r="R7" s="245">
        <v>15.23</v>
      </c>
      <c r="S7" s="245">
        <v>44.01</v>
      </c>
      <c r="T7" s="245">
        <v>20.59</v>
      </c>
      <c r="U7" s="245">
        <v>47.73</v>
      </c>
      <c r="V7" s="245">
        <v>44.65</v>
      </c>
      <c r="W7" s="245">
        <v>60.15</v>
      </c>
      <c r="X7" s="245">
        <v>48.93</v>
      </c>
      <c r="Y7" s="245">
        <v>1.2</v>
      </c>
      <c r="Z7" s="245">
        <v>3.39</v>
      </c>
      <c r="AA7" s="291">
        <v>1</v>
      </c>
      <c r="AB7" s="291">
        <v>1</v>
      </c>
      <c r="AC7" s="291">
        <v>1</v>
      </c>
      <c r="AD7" s="245"/>
      <c r="AE7" s="310"/>
      <c r="AF7" s="310">
        <v>6</v>
      </c>
      <c r="AG7" s="416">
        <v>2542</v>
      </c>
      <c r="AH7" s="440" t="s">
        <v>239</v>
      </c>
      <c r="AI7" s="302" t="s">
        <v>267</v>
      </c>
      <c r="AJ7" s="300" t="s">
        <v>238</v>
      </c>
      <c r="AK7" s="300" t="s">
        <v>238</v>
      </c>
      <c r="AL7" s="288"/>
      <c r="AM7" s="288"/>
      <c r="AN7" s="288"/>
      <c r="AO7" s="288"/>
    </row>
    <row r="8" spans="1:41" ht="12.75">
      <c r="A8" s="169">
        <v>40774</v>
      </c>
      <c r="B8" s="172" t="s">
        <v>275</v>
      </c>
      <c r="C8" s="361" t="s">
        <v>295</v>
      </c>
      <c r="D8" s="81"/>
      <c r="E8" s="38">
        <v>3</v>
      </c>
      <c r="F8" s="11">
        <v>21</v>
      </c>
      <c r="G8" s="11" t="str">
        <f t="shared" si="1"/>
        <v>E</v>
      </c>
      <c r="H8" s="11" t="str">
        <f t="shared" si="0"/>
        <v>2ARR</v>
      </c>
      <c r="I8" s="11">
        <v>45.17</v>
      </c>
      <c r="J8" s="12">
        <v>100</v>
      </c>
      <c r="K8" s="12">
        <v>2</v>
      </c>
      <c r="L8" s="33">
        <v>0.89</v>
      </c>
      <c r="M8" s="245">
        <v>63.1</v>
      </c>
      <c r="N8" s="245">
        <v>95.74</v>
      </c>
      <c r="O8" s="245">
        <v>32.91</v>
      </c>
      <c r="P8" s="245">
        <v>132.9</v>
      </c>
      <c r="Q8" s="245">
        <v>92.58</v>
      </c>
      <c r="R8" s="245">
        <v>17.52</v>
      </c>
      <c r="S8" s="245">
        <v>43.79</v>
      </c>
      <c r="T8" s="245">
        <v>18</v>
      </c>
      <c r="U8" s="245">
        <v>37.99</v>
      </c>
      <c r="V8" s="245">
        <v>44.65</v>
      </c>
      <c r="W8" s="245">
        <v>52.44</v>
      </c>
      <c r="X8" s="245">
        <v>48.93</v>
      </c>
      <c r="Y8" s="245">
        <v>1.2</v>
      </c>
      <c r="Z8" s="245">
        <v>4</v>
      </c>
      <c r="AA8" s="291">
        <v>1</v>
      </c>
      <c r="AB8" s="291">
        <v>1</v>
      </c>
      <c r="AC8" s="291">
        <v>1</v>
      </c>
      <c r="AD8" s="245"/>
      <c r="AE8" s="310"/>
      <c r="AF8" s="310">
        <v>3</v>
      </c>
      <c r="AG8" s="416">
        <v>2132</v>
      </c>
      <c r="AH8" s="440" t="s">
        <v>239</v>
      </c>
      <c r="AI8" s="302" t="s">
        <v>267</v>
      </c>
      <c r="AJ8" s="301" t="s">
        <v>265</v>
      </c>
      <c r="AK8" s="301" t="s">
        <v>265</v>
      </c>
      <c r="AL8" s="288"/>
      <c r="AM8" s="288"/>
      <c r="AN8" s="288"/>
      <c r="AO8" s="288"/>
    </row>
    <row r="9" spans="1:41" ht="12.75">
      <c r="A9" s="169">
        <v>40774</v>
      </c>
      <c r="B9" s="172" t="s">
        <v>283</v>
      </c>
      <c r="C9" s="361" t="s">
        <v>295</v>
      </c>
      <c r="D9" s="81"/>
      <c r="E9" s="38">
        <v>6</v>
      </c>
      <c r="F9" s="11">
        <v>24</v>
      </c>
      <c r="G9" s="11" t="str">
        <f t="shared" si="1"/>
        <v>S</v>
      </c>
      <c r="H9" s="11" t="str">
        <f t="shared" si="0"/>
        <v>2ARR</v>
      </c>
      <c r="I9" s="11">
        <v>38.66</v>
      </c>
      <c r="J9" s="12">
        <v>100</v>
      </c>
      <c r="K9" s="12">
        <v>5</v>
      </c>
      <c r="L9" s="33">
        <v>0.86</v>
      </c>
      <c r="M9" s="245">
        <v>81.32</v>
      </c>
      <c r="N9" s="245">
        <v>92.42</v>
      </c>
      <c r="O9" s="245">
        <v>26.57</v>
      </c>
      <c r="P9" s="245">
        <v>145.98</v>
      </c>
      <c r="Q9" s="245">
        <v>118.4</v>
      </c>
      <c r="R9" s="245">
        <v>11.48</v>
      </c>
      <c r="S9" s="245">
        <v>28.53</v>
      </c>
      <c r="T9" s="245">
        <v>6.78</v>
      </c>
      <c r="U9" s="245">
        <v>36.96</v>
      </c>
      <c r="V9" s="245">
        <v>18.29</v>
      </c>
      <c r="W9" s="245">
        <v>47.94</v>
      </c>
      <c r="X9" s="245">
        <v>21.13</v>
      </c>
      <c r="Y9" s="245">
        <v>1.3</v>
      </c>
      <c r="Z9" s="245">
        <v>4.99</v>
      </c>
      <c r="AA9" s="291">
        <v>1</v>
      </c>
      <c r="AB9" s="291">
        <v>1</v>
      </c>
      <c r="AC9" s="291">
        <v>1</v>
      </c>
      <c r="AD9" s="438">
        <v>0</v>
      </c>
      <c r="AE9" s="310"/>
      <c r="AF9" s="414"/>
      <c r="AG9" s="416">
        <v>1432</v>
      </c>
      <c r="AH9" s="441" t="s">
        <v>238</v>
      </c>
      <c r="AI9" s="300" t="s">
        <v>238</v>
      </c>
      <c r="AJ9" s="301" t="s">
        <v>265</v>
      </c>
      <c r="AK9" s="301" t="s">
        <v>265</v>
      </c>
      <c r="AL9" s="288"/>
      <c r="AM9" s="288"/>
      <c r="AN9" s="288"/>
      <c r="AO9" s="288"/>
    </row>
    <row r="10" spans="1:41" ht="12.75">
      <c r="A10" s="169">
        <v>40774</v>
      </c>
      <c r="B10" s="10" t="s">
        <v>176</v>
      </c>
      <c r="C10" s="361" t="s">
        <v>295</v>
      </c>
      <c r="D10" s="81"/>
      <c r="E10" s="38">
        <v>3</v>
      </c>
      <c r="F10" s="11">
        <v>29</v>
      </c>
      <c r="G10" s="11" t="str">
        <f t="shared" si="1"/>
        <v>S</v>
      </c>
      <c r="H10" s="11" t="str">
        <f t="shared" si="0"/>
        <v>2ARR</v>
      </c>
      <c r="I10" s="11">
        <v>33.95</v>
      </c>
      <c r="J10" s="12">
        <v>100</v>
      </c>
      <c r="K10" s="12">
        <v>0</v>
      </c>
      <c r="L10" s="33">
        <v>0.96</v>
      </c>
      <c r="M10" s="245">
        <v>55.87</v>
      </c>
      <c r="N10" s="245">
        <v>72.59</v>
      </c>
      <c r="O10" s="245">
        <v>22.84</v>
      </c>
      <c r="P10" s="245">
        <v>107.3</v>
      </c>
      <c r="Q10" s="245">
        <v>87.6</v>
      </c>
      <c r="R10" s="245">
        <v>8.91</v>
      </c>
      <c r="S10" s="245">
        <v>24.29</v>
      </c>
      <c r="T10" s="245">
        <v>9.43</v>
      </c>
      <c r="U10" s="245">
        <v>35.27</v>
      </c>
      <c r="V10" s="245">
        <v>26.67</v>
      </c>
      <c r="W10" s="245">
        <v>46.71</v>
      </c>
      <c r="X10" s="245">
        <v>23.21</v>
      </c>
      <c r="Y10" s="245">
        <v>1.7</v>
      </c>
      <c r="Z10" s="245">
        <v>4.99</v>
      </c>
      <c r="AA10" s="291">
        <v>1</v>
      </c>
      <c r="AB10" s="291">
        <v>1</v>
      </c>
      <c r="AC10" s="291">
        <v>1</v>
      </c>
      <c r="AD10" s="438" t="s">
        <v>388</v>
      </c>
      <c r="AE10" s="310">
        <v>10</v>
      </c>
      <c r="AF10" s="310"/>
      <c r="AG10" s="416">
        <v>861</v>
      </c>
      <c r="AH10" s="441" t="s">
        <v>238</v>
      </c>
      <c r="AI10" s="301" t="s">
        <v>265</v>
      </c>
      <c r="AJ10" s="446" t="s">
        <v>293</v>
      </c>
      <c r="AK10" s="286"/>
      <c r="AL10" s="288"/>
      <c r="AM10" s="288"/>
      <c r="AN10" s="288"/>
      <c r="AO10" s="288"/>
    </row>
    <row r="11" spans="1:41" ht="12.75">
      <c r="A11" s="169">
        <v>40774</v>
      </c>
      <c r="B11" s="172" t="s">
        <v>274</v>
      </c>
      <c r="C11" s="504" t="s">
        <v>295</v>
      </c>
      <c r="D11" s="139"/>
      <c r="E11" s="38">
        <v>6</v>
      </c>
      <c r="F11" s="82">
        <v>19</v>
      </c>
      <c r="G11" s="11" t="str">
        <f t="shared" si="1"/>
        <v>E</v>
      </c>
      <c r="H11" s="11" t="str">
        <f t="shared" si="0"/>
        <v>2ARR</v>
      </c>
      <c r="I11" s="11">
        <v>20.15</v>
      </c>
      <c r="J11" s="12">
        <v>43.13</v>
      </c>
      <c r="K11" s="12">
        <v>0</v>
      </c>
      <c r="L11" s="33">
        <v>0.82</v>
      </c>
      <c r="M11" s="245">
        <v>19.96</v>
      </c>
      <c r="N11" s="245">
        <v>29.96</v>
      </c>
      <c r="O11" s="245">
        <v>17.22</v>
      </c>
      <c r="P11" s="245">
        <v>47.27</v>
      </c>
      <c r="Q11" s="245">
        <v>33.23</v>
      </c>
      <c r="R11" s="245">
        <v>10.05</v>
      </c>
      <c r="S11" s="245">
        <v>19.26</v>
      </c>
      <c r="T11" s="245">
        <v>11.43</v>
      </c>
      <c r="U11" s="245">
        <v>22.21</v>
      </c>
      <c r="V11" s="245">
        <v>22.48</v>
      </c>
      <c r="W11" s="245">
        <v>18.25</v>
      </c>
      <c r="X11" s="245">
        <v>33.35</v>
      </c>
      <c r="Y11" s="245">
        <v>1.2</v>
      </c>
      <c r="Z11" s="245">
        <v>2.97</v>
      </c>
      <c r="AA11" s="291">
        <v>1</v>
      </c>
      <c r="AB11" s="291">
        <v>1</v>
      </c>
      <c r="AC11" s="291">
        <v>1</v>
      </c>
      <c r="AD11" s="245"/>
      <c r="AE11" s="310"/>
      <c r="AF11" s="310">
        <v>9</v>
      </c>
      <c r="AG11" s="416">
        <v>0</v>
      </c>
      <c r="AH11" s="498" t="s">
        <v>264</v>
      </c>
      <c r="AI11" s="302" t="s">
        <v>239</v>
      </c>
      <c r="AJ11" s="302" t="s">
        <v>239</v>
      </c>
      <c r="AK11" s="302" t="s">
        <v>239</v>
      </c>
      <c r="AL11" s="288"/>
      <c r="AM11" s="288"/>
      <c r="AN11" s="288"/>
      <c r="AO11" s="288"/>
    </row>
    <row r="12" spans="1:41" ht="12.75">
      <c r="A12" s="169">
        <v>40774</v>
      </c>
      <c r="B12" s="172" t="s">
        <v>263</v>
      </c>
      <c r="C12" s="361" t="s">
        <v>295</v>
      </c>
      <c r="D12" s="139"/>
      <c r="E12" s="38">
        <v>6</v>
      </c>
      <c r="F12" s="82">
        <v>19</v>
      </c>
      <c r="G12" s="11" t="str">
        <f t="shared" si="1"/>
        <v>E</v>
      </c>
      <c r="H12" s="11" t="str">
        <f t="shared" si="0"/>
        <v>2ARR</v>
      </c>
      <c r="I12" s="11">
        <v>9.43</v>
      </c>
      <c r="J12" s="12">
        <v>15</v>
      </c>
      <c r="K12" s="12">
        <v>0</v>
      </c>
      <c r="L12" s="33">
        <v>0.92</v>
      </c>
      <c r="M12" s="245">
        <v>11.57</v>
      </c>
      <c r="N12" s="245">
        <v>16.42</v>
      </c>
      <c r="O12" s="245">
        <v>10.63</v>
      </c>
      <c r="P12" s="245">
        <v>23.13</v>
      </c>
      <c r="Q12" s="245">
        <v>15.84</v>
      </c>
      <c r="R12" s="245">
        <v>7.95</v>
      </c>
      <c r="S12" s="245">
        <v>7.84</v>
      </c>
      <c r="T12" s="245">
        <v>5.49</v>
      </c>
      <c r="U12" s="245">
        <v>13.08</v>
      </c>
      <c r="V12" s="245">
        <v>10.64</v>
      </c>
      <c r="W12" s="245">
        <v>10.18</v>
      </c>
      <c r="X12" s="245">
        <v>9.95</v>
      </c>
      <c r="Y12" s="245">
        <v>1.43</v>
      </c>
      <c r="Z12" s="245">
        <v>2</v>
      </c>
      <c r="AA12" s="245">
        <v>1</v>
      </c>
      <c r="AB12" s="245">
        <v>1</v>
      </c>
      <c r="AC12" s="245">
        <v>1</v>
      </c>
      <c r="AD12" s="438" t="s">
        <v>385</v>
      </c>
      <c r="AE12" s="310">
        <v>3</v>
      </c>
      <c r="AF12" s="310"/>
      <c r="AG12" s="416">
        <v>0</v>
      </c>
      <c r="AH12" s="498" t="s">
        <v>264</v>
      </c>
      <c r="AI12" s="304" t="s">
        <v>268</v>
      </c>
      <c r="AJ12" s="302" t="s">
        <v>239</v>
      </c>
      <c r="AK12" s="286"/>
      <c r="AL12" s="288"/>
      <c r="AM12" s="288"/>
      <c r="AN12" s="288"/>
      <c r="AO12" s="288"/>
    </row>
    <row r="13" spans="1:41" ht="12.75">
      <c r="A13" s="258">
        <v>40774</v>
      </c>
      <c r="B13" s="172" t="s">
        <v>285</v>
      </c>
      <c r="C13" s="361" t="s">
        <v>295</v>
      </c>
      <c r="D13" s="81"/>
      <c r="E13" s="38">
        <v>4</v>
      </c>
      <c r="F13" s="11">
        <v>27</v>
      </c>
      <c r="G13" s="11" t="str">
        <f t="shared" si="1"/>
        <v>S</v>
      </c>
      <c r="H13" s="11" t="str">
        <f t="shared" si="0"/>
        <v>3DMC</v>
      </c>
      <c r="I13" s="11">
        <v>38.93</v>
      </c>
      <c r="J13" s="12">
        <v>100</v>
      </c>
      <c r="K13" s="12">
        <v>5</v>
      </c>
      <c r="L13" s="33">
        <v>0.88</v>
      </c>
      <c r="M13" s="245">
        <v>23.41</v>
      </c>
      <c r="N13" s="245">
        <v>135.84</v>
      </c>
      <c r="O13" s="245">
        <v>84.93</v>
      </c>
      <c r="P13" s="245">
        <v>93.84</v>
      </c>
      <c r="Q13" s="245">
        <v>29.88</v>
      </c>
      <c r="R13" s="245">
        <v>64.11</v>
      </c>
      <c r="S13" s="245">
        <v>34.93</v>
      </c>
      <c r="T13" s="245">
        <v>8.09</v>
      </c>
      <c r="U13" s="245">
        <v>36.96</v>
      </c>
      <c r="V13" s="245">
        <v>18.29</v>
      </c>
      <c r="W13" s="245">
        <v>44.62</v>
      </c>
      <c r="X13" s="245">
        <v>18.25</v>
      </c>
      <c r="Y13" s="245">
        <v>53.5</v>
      </c>
      <c r="Z13" s="245">
        <v>12.24</v>
      </c>
      <c r="AA13" s="291">
        <v>1</v>
      </c>
      <c r="AB13" s="291">
        <v>1</v>
      </c>
      <c r="AC13" s="291">
        <v>1</v>
      </c>
      <c r="AD13" s="438">
        <v>0</v>
      </c>
      <c r="AE13" s="310"/>
      <c r="AF13" s="310"/>
      <c r="AG13" s="416">
        <v>1365</v>
      </c>
      <c r="AH13" s="441" t="s">
        <v>238</v>
      </c>
      <c r="AI13" s="300" t="s">
        <v>238</v>
      </c>
      <c r="AJ13" s="301" t="s">
        <v>265</v>
      </c>
      <c r="AK13" s="301" t="s">
        <v>265</v>
      </c>
      <c r="AL13" s="288"/>
      <c r="AM13" s="288"/>
      <c r="AN13" s="288"/>
      <c r="AO13" s="288"/>
    </row>
    <row r="14" spans="1:41" ht="12.75">
      <c r="A14" s="258">
        <v>40774</v>
      </c>
      <c r="B14" s="172" t="s">
        <v>284</v>
      </c>
      <c r="C14" s="361" t="s">
        <v>295</v>
      </c>
      <c r="D14" s="139"/>
      <c r="E14" s="38">
        <v>4</v>
      </c>
      <c r="F14" s="82">
        <v>21</v>
      </c>
      <c r="G14" s="11" t="str">
        <f t="shared" si="1"/>
        <v>E</v>
      </c>
      <c r="H14" s="11" t="str">
        <f t="shared" si="0"/>
        <v>3DMC</v>
      </c>
      <c r="I14" s="11">
        <v>36.95</v>
      </c>
      <c r="J14" s="12">
        <v>100</v>
      </c>
      <c r="K14" s="12">
        <v>0</v>
      </c>
      <c r="L14" s="33">
        <v>0.86</v>
      </c>
      <c r="M14" s="245">
        <v>7.31</v>
      </c>
      <c r="N14" s="245">
        <v>65.17</v>
      </c>
      <c r="O14" s="245">
        <v>47.5</v>
      </c>
      <c r="P14" s="245">
        <v>54.91</v>
      </c>
      <c r="Q14" s="245">
        <v>19.32</v>
      </c>
      <c r="R14" s="245">
        <v>33.11</v>
      </c>
      <c r="S14" s="245">
        <v>39.89</v>
      </c>
      <c r="T14" s="245">
        <v>22.93</v>
      </c>
      <c r="U14" s="245">
        <v>51.04</v>
      </c>
      <c r="V14" s="245">
        <v>44.65</v>
      </c>
      <c r="W14" s="245">
        <v>24.44</v>
      </c>
      <c r="X14" s="245">
        <v>50.02</v>
      </c>
      <c r="Y14" s="245">
        <v>28.77</v>
      </c>
      <c r="Z14" s="245">
        <v>4.14</v>
      </c>
      <c r="AA14" s="291">
        <v>1</v>
      </c>
      <c r="AB14" s="291">
        <v>1</v>
      </c>
      <c r="AC14" s="291">
        <v>1</v>
      </c>
      <c r="AD14" s="245"/>
      <c r="AE14" s="310"/>
      <c r="AF14" s="310">
        <v>4</v>
      </c>
      <c r="AG14" s="416">
        <v>809</v>
      </c>
      <c r="AH14" s="440" t="s">
        <v>239</v>
      </c>
      <c r="AI14" s="302" t="s">
        <v>267</v>
      </c>
      <c r="AJ14" s="300" t="s">
        <v>238</v>
      </c>
      <c r="AK14" s="300" t="s">
        <v>238</v>
      </c>
      <c r="AL14" s="288"/>
      <c r="AM14" s="288"/>
      <c r="AN14" s="288"/>
      <c r="AO14" s="288"/>
    </row>
    <row r="15" spans="1:41" ht="12.75">
      <c r="A15" s="258">
        <v>40774</v>
      </c>
      <c r="B15" s="10" t="s">
        <v>237</v>
      </c>
      <c r="C15" s="361" t="s">
        <v>295</v>
      </c>
      <c r="D15" s="81"/>
      <c r="E15" s="38">
        <v>4</v>
      </c>
      <c r="F15" s="11">
        <v>19</v>
      </c>
      <c r="G15" s="11" t="str">
        <f t="shared" si="1"/>
        <v>E</v>
      </c>
      <c r="H15" s="11" t="str">
        <f t="shared" si="0"/>
        <v>3DMC</v>
      </c>
      <c r="I15" s="11">
        <v>25.09</v>
      </c>
      <c r="J15" s="12">
        <v>52.33</v>
      </c>
      <c r="K15" s="12">
        <v>0</v>
      </c>
      <c r="L15" s="33">
        <v>0.9</v>
      </c>
      <c r="M15" s="245">
        <v>17.17</v>
      </c>
      <c r="N15" s="245">
        <v>40.98</v>
      </c>
      <c r="O15" s="245">
        <v>35.6</v>
      </c>
      <c r="P15" s="245">
        <v>39.47</v>
      </c>
      <c r="Q15" s="245">
        <v>28.97</v>
      </c>
      <c r="R15" s="245">
        <v>16.32</v>
      </c>
      <c r="S15" s="245">
        <v>22.51</v>
      </c>
      <c r="T15" s="245">
        <v>15.64</v>
      </c>
      <c r="U15" s="245">
        <v>20.79</v>
      </c>
      <c r="V15" s="245">
        <v>34.93</v>
      </c>
      <c r="W15" s="245">
        <v>22.48</v>
      </c>
      <c r="X15" s="245">
        <v>32.02</v>
      </c>
      <c r="Y15" s="245">
        <v>6.15</v>
      </c>
      <c r="Z15" s="245">
        <v>3.42</v>
      </c>
      <c r="AA15" s="291">
        <v>1</v>
      </c>
      <c r="AB15" s="291">
        <v>1</v>
      </c>
      <c r="AC15" s="291">
        <v>1</v>
      </c>
      <c r="AD15" s="245"/>
      <c r="AE15" s="310"/>
      <c r="AF15" s="310">
        <v>12</v>
      </c>
      <c r="AG15" s="416">
        <v>0</v>
      </c>
      <c r="AH15" s="442" t="s">
        <v>241</v>
      </c>
      <c r="AI15" s="302" t="s">
        <v>239</v>
      </c>
      <c r="AJ15" s="302" t="s">
        <v>239</v>
      </c>
      <c r="AK15" s="302" t="s">
        <v>239</v>
      </c>
      <c r="AL15" s="288"/>
      <c r="AM15" s="288"/>
      <c r="AN15" s="288"/>
      <c r="AO15" s="288"/>
    </row>
    <row r="16" spans="1:41" ht="12.75">
      <c r="A16" s="258">
        <v>40774</v>
      </c>
      <c r="B16" s="172" t="s">
        <v>272</v>
      </c>
      <c r="C16" s="361" t="s">
        <v>295</v>
      </c>
      <c r="D16" s="257"/>
      <c r="E16" s="38">
        <v>4</v>
      </c>
      <c r="F16" s="82">
        <v>19</v>
      </c>
      <c r="G16" s="11" t="str">
        <f t="shared" si="1"/>
        <v>E</v>
      </c>
      <c r="H16" s="11" t="str">
        <f t="shared" si="0"/>
        <v>3DMC</v>
      </c>
      <c r="I16" s="11">
        <v>7.12</v>
      </c>
      <c r="J16" s="12">
        <v>9.5</v>
      </c>
      <c r="K16" s="12">
        <v>0</v>
      </c>
      <c r="L16" s="33">
        <v>0.92</v>
      </c>
      <c r="M16" s="245">
        <v>8.52</v>
      </c>
      <c r="N16" s="245">
        <v>7.23</v>
      </c>
      <c r="O16" s="245">
        <v>7.23</v>
      </c>
      <c r="P16" s="245">
        <v>9.71</v>
      </c>
      <c r="Q16" s="245">
        <v>11.69</v>
      </c>
      <c r="R16" s="245">
        <v>3.02</v>
      </c>
      <c r="S16" s="245">
        <v>5.24</v>
      </c>
      <c r="T16" s="245">
        <v>6.38</v>
      </c>
      <c r="U16" s="245">
        <v>9.68</v>
      </c>
      <c r="V16" s="245">
        <v>9.41</v>
      </c>
      <c r="W16" s="245">
        <v>8.25</v>
      </c>
      <c r="X16" s="245">
        <v>7.51</v>
      </c>
      <c r="Y16" s="245">
        <v>1.43</v>
      </c>
      <c r="Z16" s="245">
        <v>1.64</v>
      </c>
      <c r="AA16" s="245">
        <v>1</v>
      </c>
      <c r="AB16" s="245">
        <v>1</v>
      </c>
      <c r="AC16" s="245">
        <v>1</v>
      </c>
      <c r="AD16" s="245"/>
      <c r="AE16" s="310"/>
      <c r="AF16" s="414"/>
      <c r="AG16" s="416">
        <v>0</v>
      </c>
      <c r="AH16" s="445" t="s">
        <v>264</v>
      </c>
      <c r="AI16" s="303" t="s">
        <v>240</v>
      </c>
      <c r="AJ16" s="303" t="s">
        <v>240</v>
      </c>
      <c r="AK16" s="286"/>
      <c r="AL16" s="288"/>
      <c r="AM16" s="288"/>
      <c r="AN16" s="288"/>
      <c r="AO16" s="288"/>
    </row>
    <row r="17" spans="1:41" ht="12.75">
      <c r="A17" s="173">
        <v>40774</v>
      </c>
      <c r="B17" s="172" t="s">
        <v>278</v>
      </c>
      <c r="C17" s="504" t="s">
        <v>295</v>
      </c>
      <c r="D17" s="86"/>
      <c r="E17" s="11">
        <v>2</v>
      </c>
      <c r="F17" s="82">
        <v>21</v>
      </c>
      <c r="G17" s="11" t="str">
        <f t="shared" si="1"/>
        <v>E</v>
      </c>
      <c r="H17" s="11" t="str">
        <f t="shared" si="0"/>
        <v>4AIL</v>
      </c>
      <c r="I17" s="11">
        <v>47.64</v>
      </c>
      <c r="J17" s="12">
        <v>100</v>
      </c>
      <c r="K17" s="12">
        <v>0</v>
      </c>
      <c r="L17" s="33">
        <v>0.9</v>
      </c>
      <c r="M17" s="245">
        <v>65</v>
      </c>
      <c r="N17" s="245">
        <v>87.04</v>
      </c>
      <c r="O17" s="245">
        <v>38.9</v>
      </c>
      <c r="P17" s="245">
        <v>123.72</v>
      </c>
      <c r="Q17" s="245">
        <v>100.54</v>
      </c>
      <c r="R17" s="245">
        <v>14.78</v>
      </c>
      <c r="S17" s="245">
        <v>44.88</v>
      </c>
      <c r="T17" s="245">
        <v>18.58</v>
      </c>
      <c r="U17" s="245">
        <v>41.42</v>
      </c>
      <c r="V17" s="245">
        <v>44.94</v>
      </c>
      <c r="W17" s="245">
        <v>65.84</v>
      </c>
      <c r="X17" s="245">
        <v>48.93</v>
      </c>
      <c r="Y17" s="245">
        <v>1.43</v>
      </c>
      <c r="Z17" s="245">
        <v>4.2</v>
      </c>
      <c r="AA17" s="291">
        <v>1</v>
      </c>
      <c r="AB17" s="291">
        <v>1</v>
      </c>
      <c r="AC17" s="291">
        <v>1</v>
      </c>
      <c r="AD17" s="245"/>
      <c r="AE17" s="310"/>
      <c r="AF17" s="310">
        <v>2</v>
      </c>
      <c r="AG17" s="416">
        <v>2501</v>
      </c>
      <c r="AH17" s="507" t="s">
        <v>239</v>
      </c>
      <c r="AI17" s="446" t="s">
        <v>293</v>
      </c>
      <c r="AJ17" s="286"/>
      <c r="AK17" s="286"/>
      <c r="AL17" s="288"/>
      <c r="AM17" s="288"/>
      <c r="AN17" s="288"/>
      <c r="AO17" s="288"/>
    </row>
    <row r="18" spans="1:41" ht="12.75">
      <c r="A18" s="173">
        <v>40774</v>
      </c>
      <c r="B18" s="172" t="s">
        <v>286</v>
      </c>
      <c r="C18" s="361" t="s">
        <v>295</v>
      </c>
      <c r="D18" s="81"/>
      <c r="E18" s="38">
        <v>7</v>
      </c>
      <c r="F18" s="11">
        <v>20</v>
      </c>
      <c r="G18" s="11" t="str">
        <f t="shared" si="1"/>
        <v>E</v>
      </c>
      <c r="H18" s="11" t="str">
        <f t="shared" si="0"/>
        <v>4AIL</v>
      </c>
      <c r="I18" s="11">
        <v>45.69</v>
      </c>
      <c r="J18" s="12">
        <v>100</v>
      </c>
      <c r="K18" s="12">
        <v>0</v>
      </c>
      <c r="L18" s="33">
        <v>0.9</v>
      </c>
      <c r="M18" s="245">
        <v>52.96</v>
      </c>
      <c r="N18" s="245">
        <v>88.69</v>
      </c>
      <c r="O18" s="245">
        <v>47.14</v>
      </c>
      <c r="P18" s="245">
        <v>114.09</v>
      </c>
      <c r="Q18" s="245">
        <v>92.09</v>
      </c>
      <c r="R18" s="245">
        <v>16.1</v>
      </c>
      <c r="S18" s="245">
        <v>48.72</v>
      </c>
      <c r="T18" s="245">
        <v>16.75</v>
      </c>
      <c r="U18" s="245">
        <v>42.92</v>
      </c>
      <c r="V18" s="245">
        <v>38.62</v>
      </c>
      <c r="W18" s="245">
        <v>58.87</v>
      </c>
      <c r="X18" s="245">
        <v>48.93</v>
      </c>
      <c r="Y18" s="245">
        <v>1.2</v>
      </c>
      <c r="Z18" s="245">
        <v>4.21</v>
      </c>
      <c r="AA18" s="291">
        <v>1</v>
      </c>
      <c r="AB18" s="291">
        <v>1</v>
      </c>
      <c r="AC18" s="291">
        <v>1</v>
      </c>
      <c r="AD18" s="245"/>
      <c r="AE18" s="310"/>
      <c r="AF18" s="310">
        <v>7</v>
      </c>
      <c r="AG18" s="416">
        <v>2177</v>
      </c>
      <c r="AH18" s="440" t="s">
        <v>239</v>
      </c>
      <c r="AI18" s="302" t="s">
        <v>267</v>
      </c>
      <c r="AJ18" s="302" t="s">
        <v>267</v>
      </c>
      <c r="AK18" s="300" t="s">
        <v>238</v>
      </c>
      <c r="AL18" s="288"/>
      <c r="AM18" s="288"/>
      <c r="AN18" s="288"/>
      <c r="AO18" s="288"/>
    </row>
    <row r="19" spans="1:41" ht="12.75">
      <c r="A19" s="173">
        <v>40774</v>
      </c>
      <c r="B19" s="10" t="s">
        <v>168</v>
      </c>
      <c r="C19" s="361" t="s">
        <v>295</v>
      </c>
      <c r="D19" s="92"/>
      <c r="E19" s="11">
        <v>7</v>
      </c>
      <c r="F19" s="11">
        <v>27</v>
      </c>
      <c r="G19" s="11" t="str">
        <f t="shared" si="1"/>
        <v>S</v>
      </c>
      <c r="H19" s="11" t="str">
        <f t="shared" si="0"/>
        <v>4AIL</v>
      </c>
      <c r="I19" s="11">
        <v>37.44</v>
      </c>
      <c r="J19" s="12">
        <v>100</v>
      </c>
      <c r="K19" s="12">
        <v>5</v>
      </c>
      <c r="L19" s="33">
        <v>0.86</v>
      </c>
      <c r="M19" s="245">
        <v>68.31</v>
      </c>
      <c r="N19" s="245">
        <v>93.45</v>
      </c>
      <c r="O19" s="245">
        <v>40.78</v>
      </c>
      <c r="P19" s="245">
        <v>134.77</v>
      </c>
      <c r="Q19" s="245">
        <v>118.61</v>
      </c>
      <c r="R19" s="245">
        <v>13.18</v>
      </c>
      <c r="S19" s="245">
        <v>31.7</v>
      </c>
      <c r="T19" s="245">
        <v>5.26</v>
      </c>
      <c r="U19" s="245">
        <v>31.32</v>
      </c>
      <c r="V19" s="245">
        <v>18.29</v>
      </c>
      <c r="W19" s="245">
        <v>45.63</v>
      </c>
      <c r="X19" s="245">
        <v>18.25</v>
      </c>
      <c r="Y19" s="245">
        <v>1.2</v>
      </c>
      <c r="Z19" s="245">
        <v>4.99</v>
      </c>
      <c r="AA19" s="291">
        <v>1</v>
      </c>
      <c r="AB19" s="291">
        <v>1</v>
      </c>
      <c r="AC19" s="291">
        <v>1</v>
      </c>
      <c r="AD19" s="438" t="s">
        <v>386</v>
      </c>
      <c r="AE19" s="310"/>
      <c r="AF19" s="310"/>
      <c r="AG19" s="416">
        <v>1249</v>
      </c>
      <c r="AH19" s="441" t="s">
        <v>238</v>
      </c>
      <c r="AI19" s="300" t="s">
        <v>238</v>
      </c>
      <c r="AJ19" s="300" t="s">
        <v>238</v>
      </c>
      <c r="AK19" s="446" t="s">
        <v>293</v>
      </c>
      <c r="AL19" s="288"/>
      <c r="AM19" s="288"/>
      <c r="AN19" s="288"/>
      <c r="AO19" s="288"/>
    </row>
    <row r="20" spans="1:41" ht="12.75">
      <c r="A20" s="173">
        <v>40774</v>
      </c>
      <c r="B20" s="172" t="s">
        <v>277</v>
      </c>
      <c r="C20" s="361" t="s">
        <v>295</v>
      </c>
      <c r="D20" s="81"/>
      <c r="E20" s="38">
        <v>7</v>
      </c>
      <c r="F20" s="82">
        <v>20</v>
      </c>
      <c r="G20" s="11" t="str">
        <f t="shared" si="1"/>
        <v>E</v>
      </c>
      <c r="H20" s="11" t="str">
        <f t="shared" si="0"/>
        <v>4AIL</v>
      </c>
      <c r="I20" s="11">
        <v>36.51</v>
      </c>
      <c r="J20" s="12">
        <v>100</v>
      </c>
      <c r="K20" s="12">
        <v>0</v>
      </c>
      <c r="L20" s="33">
        <v>0.86</v>
      </c>
      <c r="M20" s="245">
        <v>39.87</v>
      </c>
      <c r="N20" s="245">
        <v>59.03</v>
      </c>
      <c r="O20" s="245">
        <v>33.01</v>
      </c>
      <c r="P20" s="245">
        <v>82.39</v>
      </c>
      <c r="Q20" s="245">
        <v>69.33</v>
      </c>
      <c r="R20" s="245">
        <v>12.18</v>
      </c>
      <c r="S20" s="245">
        <v>36.47</v>
      </c>
      <c r="T20" s="245">
        <v>15.41</v>
      </c>
      <c r="U20" s="245">
        <v>33.26</v>
      </c>
      <c r="V20" s="245">
        <v>42.38</v>
      </c>
      <c r="W20" s="245">
        <v>36.33</v>
      </c>
      <c r="X20" s="245">
        <v>49.31</v>
      </c>
      <c r="Y20" s="245">
        <v>1.2</v>
      </c>
      <c r="Z20" s="245">
        <v>4.22</v>
      </c>
      <c r="AA20" s="291">
        <v>1</v>
      </c>
      <c r="AB20" s="291">
        <v>1</v>
      </c>
      <c r="AC20" s="291">
        <v>1</v>
      </c>
      <c r="AD20" s="245"/>
      <c r="AE20" s="310"/>
      <c r="AF20" s="310">
        <v>11</v>
      </c>
      <c r="AG20" s="416">
        <v>909</v>
      </c>
      <c r="AH20" s="442" t="s">
        <v>240</v>
      </c>
      <c r="AI20" s="304" t="s">
        <v>268</v>
      </c>
      <c r="AJ20" s="302" t="s">
        <v>239</v>
      </c>
      <c r="AK20" s="301" t="s">
        <v>265</v>
      </c>
      <c r="AL20" s="288"/>
      <c r="AM20" s="288"/>
      <c r="AN20" s="288"/>
      <c r="AO20" s="288"/>
    </row>
    <row r="21" spans="1:41" ht="12.75">
      <c r="A21" s="173">
        <v>40774</v>
      </c>
      <c r="B21" s="172" t="s">
        <v>287</v>
      </c>
      <c r="C21" s="394" t="s">
        <v>295</v>
      </c>
      <c r="D21" s="81"/>
      <c r="E21" s="38">
        <v>2</v>
      </c>
      <c r="F21" s="11">
        <v>25</v>
      </c>
      <c r="G21" s="11" t="str">
        <f t="shared" si="1"/>
        <v>S</v>
      </c>
      <c r="H21" s="11" t="str">
        <f t="shared" si="0"/>
        <v>4AIL</v>
      </c>
      <c r="I21" s="11">
        <v>34.78</v>
      </c>
      <c r="J21" s="12">
        <v>100</v>
      </c>
      <c r="K21" s="12">
        <v>0</v>
      </c>
      <c r="L21" s="33">
        <v>0.88</v>
      </c>
      <c r="M21" s="245">
        <v>56.82</v>
      </c>
      <c r="N21" s="245">
        <v>71.32</v>
      </c>
      <c r="O21" s="245">
        <v>39.78</v>
      </c>
      <c r="P21" s="245">
        <v>107.67</v>
      </c>
      <c r="Q21" s="245">
        <v>92.58</v>
      </c>
      <c r="R21" s="245">
        <v>9.44</v>
      </c>
      <c r="S21" s="245">
        <v>40</v>
      </c>
      <c r="T21" s="245">
        <v>6.59</v>
      </c>
      <c r="U21" s="245">
        <v>31.32</v>
      </c>
      <c r="V21" s="245">
        <v>18.29</v>
      </c>
      <c r="W21" s="245">
        <v>45.53</v>
      </c>
      <c r="X21" s="245">
        <v>23.21</v>
      </c>
      <c r="Y21" s="245">
        <v>1.2</v>
      </c>
      <c r="Z21" s="245">
        <v>6.11</v>
      </c>
      <c r="AA21" s="291">
        <v>1</v>
      </c>
      <c r="AB21" s="291">
        <v>1</v>
      </c>
      <c r="AC21" s="291">
        <v>1</v>
      </c>
      <c r="AD21" s="438" t="s">
        <v>190</v>
      </c>
      <c r="AE21" s="310">
        <v>9</v>
      </c>
      <c r="AF21" s="310"/>
      <c r="AG21" s="416">
        <v>878</v>
      </c>
      <c r="AH21" s="441" t="s">
        <v>238</v>
      </c>
      <c r="AI21" s="301" t="s">
        <v>265</v>
      </c>
      <c r="AJ21" s="301" t="s">
        <v>265</v>
      </c>
      <c r="AK21" s="446" t="s">
        <v>293</v>
      </c>
      <c r="AL21" s="288"/>
      <c r="AM21" s="288"/>
      <c r="AN21" s="288"/>
      <c r="AO21" s="288"/>
    </row>
    <row r="22" spans="1:41" ht="12.75">
      <c r="A22" s="173">
        <v>40774</v>
      </c>
      <c r="B22" s="10" t="s">
        <v>236</v>
      </c>
      <c r="C22" s="397" t="s">
        <v>206</v>
      </c>
      <c r="D22" s="411"/>
      <c r="E22" s="11">
        <v>2</v>
      </c>
      <c r="F22" s="11">
        <v>29</v>
      </c>
      <c r="G22" s="11" t="str">
        <f t="shared" si="1"/>
        <v>S</v>
      </c>
      <c r="H22" s="11" t="str">
        <f t="shared" si="0"/>
        <v>4AIL</v>
      </c>
      <c r="I22" s="11">
        <v>32.28</v>
      </c>
      <c r="J22" s="12">
        <v>58.95</v>
      </c>
      <c r="K22" s="12">
        <v>0</v>
      </c>
      <c r="L22" s="33">
        <v>0.91</v>
      </c>
      <c r="M22" s="245">
        <v>51.4</v>
      </c>
      <c r="N22" s="245">
        <v>48.92</v>
      </c>
      <c r="O22" s="245">
        <v>8.77</v>
      </c>
      <c r="P22" s="245">
        <v>60.31</v>
      </c>
      <c r="Q22" s="245">
        <v>73.92</v>
      </c>
      <c r="R22" s="245">
        <v>2.3</v>
      </c>
      <c r="S22" s="245">
        <v>37.28</v>
      </c>
      <c r="T22" s="245">
        <v>1.38</v>
      </c>
      <c r="U22" s="245">
        <v>11.78</v>
      </c>
      <c r="V22" s="245">
        <v>32.89</v>
      </c>
      <c r="W22" s="245">
        <v>58.92</v>
      </c>
      <c r="X22" s="245">
        <v>42.87</v>
      </c>
      <c r="Y22" s="245">
        <v>1.52</v>
      </c>
      <c r="Z22" s="245">
        <v>7.15</v>
      </c>
      <c r="AA22" s="291">
        <v>1</v>
      </c>
      <c r="AB22" s="291">
        <v>1</v>
      </c>
      <c r="AC22" s="291">
        <v>1</v>
      </c>
      <c r="AD22" s="438" t="s">
        <v>384</v>
      </c>
      <c r="AE22" s="310">
        <v>2</v>
      </c>
      <c r="AF22" s="310"/>
      <c r="AG22" s="416">
        <v>0</v>
      </c>
      <c r="AH22" s="443" t="s">
        <v>265</v>
      </c>
      <c r="AI22" s="301" t="s">
        <v>265</v>
      </c>
      <c r="AJ22" s="446" t="s">
        <v>293</v>
      </c>
      <c r="AK22" s="286"/>
      <c r="AL22" s="288"/>
      <c r="AM22" s="288"/>
      <c r="AN22" s="288"/>
      <c r="AO22" s="288"/>
    </row>
    <row r="23" spans="1:41" ht="12.75">
      <c r="A23" s="173">
        <v>40774</v>
      </c>
      <c r="B23" s="172" t="s">
        <v>288</v>
      </c>
      <c r="C23" s="361" t="s">
        <v>295</v>
      </c>
      <c r="D23" s="81"/>
      <c r="E23" s="11">
        <v>2</v>
      </c>
      <c r="F23" s="11">
        <v>25</v>
      </c>
      <c r="G23" s="11" t="str">
        <f t="shared" si="1"/>
        <v>S</v>
      </c>
      <c r="H23" s="11" t="str">
        <f t="shared" si="0"/>
        <v>4AIL</v>
      </c>
      <c r="I23" s="11">
        <v>24.83</v>
      </c>
      <c r="J23" s="12">
        <v>93.14</v>
      </c>
      <c r="K23" s="12">
        <v>0</v>
      </c>
      <c r="L23" s="33">
        <v>0.92</v>
      </c>
      <c r="M23" s="245">
        <v>34.25</v>
      </c>
      <c r="N23" s="245">
        <v>24.55</v>
      </c>
      <c r="O23" s="245">
        <v>16.24</v>
      </c>
      <c r="P23" s="245">
        <v>44.13</v>
      </c>
      <c r="Q23" s="245">
        <v>44.92</v>
      </c>
      <c r="R23" s="245">
        <v>4.21</v>
      </c>
      <c r="S23" s="245">
        <v>32.46</v>
      </c>
      <c r="T23" s="245">
        <v>5.29</v>
      </c>
      <c r="U23" s="245">
        <v>35.03</v>
      </c>
      <c r="V23" s="245">
        <v>26.85</v>
      </c>
      <c r="W23" s="245">
        <v>32.09</v>
      </c>
      <c r="X23" s="245">
        <v>28.87</v>
      </c>
      <c r="Y23" s="245">
        <v>1.43</v>
      </c>
      <c r="Z23" s="245">
        <v>6.11</v>
      </c>
      <c r="AA23" s="291">
        <v>1</v>
      </c>
      <c r="AB23" s="291">
        <v>1</v>
      </c>
      <c r="AC23" s="291">
        <v>1</v>
      </c>
      <c r="AD23" s="438" t="s">
        <v>384</v>
      </c>
      <c r="AE23" s="310">
        <v>7</v>
      </c>
      <c r="AF23" s="310"/>
      <c r="AG23" s="416">
        <v>0</v>
      </c>
      <c r="AH23" s="443" t="s">
        <v>265</v>
      </c>
      <c r="AI23" s="446" t="s">
        <v>293</v>
      </c>
      <c r="AJ23" s="286"/>
      <c r="AK23" s="286"/>
      <c r="AL23" s="288"/>
      <c r="AM23" s="288"/>
      <c r="AN23" s="288"/>
      <c r="AO23" s="288"/>
    </row>
    <row r="24" spans="1:41" ht="12.75">
      <c r="A24" s="173">
        <v>40774</v>
      </c>
      <c r="B24" s="172" t="s">
        <v>276</v>
      </c>
      <c r="C24" s="361" t="s">
        <v>295</v>
      </c>
      <c r="D24" s="92"/>
      <c r="E24" s="11">
        <v>2</v>
      </c>
      <c r="F24" s="11">
        <v>20</v>
      </c>
      <c r="G24" s="11" t="str">
        <f t="shared" si="1"/>
        <v>E</v>
      </c>
      <c r="H24" s="11" t="str">
        <f t="shared" si="0"/>
        <v>4AIL</v>
      </c>
      <c r="I24" s="11">
        <v>19.23</v>
      </c>
      <c r="J24" s="12">
        <v>39.33</v>
      </c>
      <c r="K24" s="12">
        <v>0</v>
      </c>
      <c r="L24" s="33">
        <v>0.89</v>
      </c>
      <c r="M24" s="245">
        <v>10.61</v>
      </c>
      <c r="N24" s="245">
        <v>29.67</v>
      </c>
      <c r="O24" s="245">
        <v>27.88</v>
      </c>
      <c r="P24" s="245">
        <v>30.37</v>
      </c>
      <c r="Q24" s="245">
        <v>21.79</v>
      </c>
      <c r="R24" s="245">
        <v>11.06</v>
      </c>
      <c r="S24" s="245">
        <v>19.13</v>
      </c>
      <c r="T24" s="245">
        <v>11.99</v>
      </c>
      <c r="U24" s="245">
        <v>22.21</v>
      </c>
      <c r="V24" s="245">
        <v>22.48</v>
      </c>
      <c r="W24" s="245">
        <v>13.04</v>
      </c>
      <c r="X24" s="245">
        <v>33.35</v>
      </c>
      <c r="Y24" s="245">
        <v>1.2</v>
      </c>
      <c r="Z24" s="245">
        <v>2.97</v>
      </c>
      <c r="AA24" s="291">
        <v>1</v>
      </c>
      <c r="AB24" s="291">
        <v>1</v>
      </c>
      <c r="AC24" s="291">
        <v>1</v>
      </c>
      <c r="AD24" s="245"/>
      <c r="AE24" s="310"/>
      <c r="AF24" s="310"/>
      <c r="AG24" s="416">
        <v>0</v>
      </c>
      <c r="AH24" s="445" t="s">
        <v>264</v>
      </c>
      <c r="AI24" s="303" t="s">
        <v>240</v>
      </c>
      <c r="AJ24" s="303" t="s">
        <v>240</v>
      </c>
      <c r="AK24" s="286"/>
      <c r="AL24" s="288"/>
      <c r="AM24" s="288"/>
      <c r="AN24" s="288"/>
      <c r="AO24" s="288"/>
    </row>
    <row r="25" spans="1:41" ht="12.75">
      <c r="A25" s="170">
        <v>40774</v>
      </c>
      <c r="B25" s="172" t="s">
        <v>289</v>
      </c>
      <c r="C25" s="361" t="s">
        <v>295</v>
      </c>
      <c r="D25" s="92"/>
      <c r="E25" s="11">
        <v>5</v>
      </c>
      <c r="F25" s="11">
        <v>20</v>
      </c>
      <c r="G25" s="11" t="str">
        <f t="shared" si="1"/>
        <v>E</v>
      </c>
      <c r="H25" s="11" t="str">
        <f t="shared" si="0"/>
        <v>5PIV</v>
      </c>
      <c r="I25" s="11">
        <v>48.67</v>
      </c>
      <c r="J25" s="12">
        <v>100</v>
      </c>
      <c r="K25" s="12">
        <v>1.25</v>
      </c>
      <c r="L25" s="33">
        <v>0.9</v>
      </c>
      <c r="M25" s="245">
        <v>5.28</v>
      </c>
      <c r="N25" s="245">
        <v>121.8</v>
      </c>
      <c r="O25" s="245">
        <v>78.87</v>
      </c>
      <c r="P25" s="245">
        <v>91.54</v>
      </c>
      <c r="Q25" s="245">
        <v>43.81</v>
      </c>
      <c r="R25" s="245">
        <v>76.61</v>
      </c>
      <c r="S25" s="245">
        <v>40.73</v>
      </c>
      <c r="T25" s="245">
        <v>18.42</v>
      </c>
      <c r="U25" s="245">
        <v>37.99</v>
      </c>
      <c r="V25" s="245">
        <v>44.42</v>
      </c>
      <c r="W25" s="245">
        <v>24.31</v>
      </c>
      <c r="X25" s="245">
        <v>48.93</v>
      </c>
      <c r="Y25" s="245">
        <v>79.52</v>
      </c>
      <c r="Z25" s="245">
        <v>4.21</v>
      </c>
      <c r="AA25" s="291">
        <v>1</v>
      </c>
      <c r="AB25" s="291">
        <v>1</v>
      </c>
      <c r="AC25" s="291">
        <v>1</v>
      </c>
      <c r="AD25" s="245"/>
      <c r="AE25" s="310"/>
      <c r="AF25" s="310">
        <v>5</v>
      </c>
      <c r="AG25" s="416">
        <v>2621</v>
      </c>
      <c r="AH25" s="440" t="s">
        <v>239</v>
      </c>
      <c r="AI25" s="302" t="s">
        <v>267</v>
      </c>
      <c r="AJ25" s="302" t="s">
        <v>267</v>
      </c>
      <c r="AK25" s="300" t="s">
        <v>238</v>
      </c>
      <c r="AL25" s="288"/>
      <c r="AM25" s="288"/>
      <c r="AN25" s="288"/>
      <c r="AO25" s="288"/>
    </row>
    <row r="26" spans="1:41" ht="12.75">
      <c r="A26" s="170">
        <v>40774</v>
      </c>
      <c r="B26" s="172" t="s">
        <v>279</v>
      </c>
      <c r="C26" s="361" t="s">
        <v>295</v>
      </c>
      <c r="D26" s="92"/>
      <c r="E26" s="11">
        <v>5</v>
      </c>
      <c r="F26" s="11">
        <v>29</v>
      </c>
      <c r="G26" s="11" t="str">
        <f t="shared" si="1"/>
        <v>S</v>
      </c>
      <c r="H26" s="11" t="str">
        <f t="shared" si="0"/>
        <v>5PIV</v>
      </c>
      <c r="I26" s="11">
        <v>42.94</v>
      </c>
      <c r="J26" s="12">
        <v>100</v>
      </c>
      <c r="K26" s="12">
        <v>5</v>
      </c>
      <c r="L26" s="33">
        <v>0.88</v>
      </c>
      <c r="M26" s="245">
        <v>2.9</v>
      </c>
      <c r="N26" s="245">
        <v>138.24</v>
      </c>
      <c r="O26" s="245">
        <v>98.64</v>
      </c>
      <c r="P26" s="245">
        <v>92.4</v>
      </c>
      <c r="Q26" s="245">
        <v>28.31</v>
      </c>
      <c r="R26" s="245">
        <v>86.45</v>
      </c>
      <c r="S26" s="245">
        <v>43.59</v>
      </c>
      <c r="T26" s="245">
        <v>11.86</v>
      </c>
      <c r="U26" s="245">
        <v>31.32</v>
      </c>
      <c r="V26" s="245">
        <v>18.29</v>
      </c>
      <c r="W26" s="245">
        <v>5.11</v>
      </c>
      <c r="X26" s="245">
        <v>23.21</v>
      </c>
      <c r="Y26" s="245">
        <v>88.28</v>
      </c>
      <c r="Z26" s="245">
        <v>4.99</v>
      </c>
      <c r="AA26" s="291">
        <v>1</v>
      </c>
      <c r="AB26" s="291">
        <v>1</v>
      </c>
      <c r="AC26" s="291">
        <v>1</v>
      </c>
      <c r="AD26" s="438"/>
      <c r="AE26" s="310"/>
      <c r="AF26" s="310"/>
      <c r="AG26" s="416">
        <v>1873</v>
      </c>
      <c r="AH26" s="441" t="s">
        <v>238</v>
      </c>
      <c r="AI26" s="300" t="s">
        <v>238</v>
      </c>
      <c r="AJ26" s="300" t="s">
        <v>238</v>
      </c>
      <c r="AK26" s="301" t="s">
        <v>265</v>
      </c>
      <c r="AL26" s="288"/>
      <c r="AM26" s="288"/>
      <c r="AN26" s="288"/>
      <c r="AO26" s="288"/>
    </row>
    <row r="27" spans="1:41" ht="12.75">
      <c r="A27" s="170">
        <v>40774</v>
      </c>
      <c r="B27" s="172" t="s">
        <v>290</v>
      </c>
      <c r="C27" s="361" t="s">
        <v>295</v>
      </c>
      <c r="D27" s="92"/>
      <c r="E27" s="11">
        <v>5</v>
      </c>
      <c r="F27" s="11">
        <v>20</v>
      </c>
      <c r="G27" s="11" t="str">
        <f t="shared" si="1"/>
        <v>E</v>
      </c>
      <c r="H27" s="11" t="str">
        <f t="shared" si="0"/>
        <v>5PIV</v>
      </c>
      <c r="I27" s="11">
        <v>31.02</v>
      </c>
      <c r="J27" s="12">
        <v>71.65</v>
      </c>
      <c r="K27" s="11">
        <v>0</v>
      </c>
      <c r="L27" s="33">
        <v>0.91</v>
      </c>
      <c r="M27" s="245">
        <v>8.3</v>
      </c>
      <c r="N27" s="245">
        <v>53.7</v>
      </c>
      <c r="O27" s="245">
        <v>34.08</v>
      </c>
      <c r="P27" s="245">
        <v>44.84</v>
      </c>
      <c r="Q27" s="245">
        <v>20.55</v>
      </c>
      <c r="R27" s="245">
        <v>24.53</v>
      </c>
      <c r="S27" s="245">
        <v>35.01</v>
      </c>
      <c r="T27" s="245">
        <v>15.97</v>
      </c>
      <c r="U27" s="245">
        <v>33.26</v>
      </c>
      <c r="V27" s="245">
        <v>42.38</v>
      </c>
      <c r="W27" s="245">
        <v>19.61</v>
      </c>
      <c r="X27" s="245">
        <v>43.16</v>
      </c>
      <c r="Y27" s="245">
        <v>26.23</v>
      </c>
      <c r="Z27" s="245">
        <v>4.3</v>
      </c>
      <c r="AA27" s="291">
        <v>1</v>
      </c>
      <c r="AB27" s="291">
        <v>1</v>
      </c>
      <c r="AC27" s="291">
        <v>1</v>
      </c>
      <c r="AD27" s="245"/>
      <c r="AE27" s="310"/>
      <c r="AF27" s="310">
        <v>10</v>
      </c>
      <c r="AG27" s="416">
        <v>0</v>
      </c>
      <c r="AH27" s="442" t="s">
        <v>240</v>
      </c>
      <c r="AI27" s="316" t="s">
        <v>268</v>
      </c>
      <c r="AJ27" s="316" t="s">
        <v>268</v>
      </c>
      <c r="AK27" s="286"/>
      <c r="AL27" s="288"/>
      <c r="AM27" s="288"/>
      <c r="AN27" s="288"/>
      <c r="AO27" s="288"/>
    </row>
    <row r="28" spans="1:41" ht="12.75">
      <c r="A28" s="170">
        <v>40774</v>
      </c>
      <c r="B28" s="10" t="s">
        <v>235</v>
      </c>
      <c r="C28" s="342" t="s">
        <v>206</v>
      </c>
      <c r="D28" s="92"/>
      <c r="E28" s="11">
        <v>5</v>
      </c>
      <c r="F28" s="11">
        <v>23</v>
      </c>
      <c r="G28" s="11" t="str">
        <f t="shared" si="1"/>
        <v>S</v>
      </c>
      <c r="H28" s="11" t="str">
        <f t="shared" si="0"/>
        <v>5PIV</v>
      </c>
      <c r="I28" s="11">
        <v>18.56</v>
      </c>
      <c r="J28" s="12">
        <v>58.9</v>
      </c>
      <c r="K28" s="11">
        <v>0</v>
      </c>
      <c r="L28" s="33">
        <v>0.79</v>
      </c>
      <c r="M28" s="245">
        <v>28.86</v>
      </c>
      <c r="N28" s="245">
        <v>19.08</v>
      </c>
      <c r="O28" s="245">
        <v>11.55</v>
      </c>
      <c r="P28" s="245">
        <v>30.92</v>
      </c>
      <c r="Q28" s="245">
        <v>40.42</v>
      </c>
      <c r="R28" s="245">
        <v>14.42</v>
      </c>
      <c r="S28" s="245">
        <v>5.05</v>
      </c>
      <c r="T28" s="245">
        <v>9.77</v>
      </c>
      <c r="U28" s="245">
        <v>5.24</v>
      </c>
      <c r="V28" s="245">
        <v>19.97</v>
      </c>
      <c r="W28" s="245">
        <v>22.17</v>
      </c>
      <c r="X28" s="245">
        <v>37.52</v>
      </c>
      <c r="Y28" s="245">
        <v>16.93</v>
      </c>
      <c r="Z28" s="245">
        <v>5.88</v>
      </c>
      <c r="AA28" s="291">
        <v>1</v>
      </c>
      <c r="AB28" s="291">
        <v>1</v>
      </c>
      <c r="AC28" s="291">
        <v>1</v>
      </c>
      <c r="AD28" s="438" t="s">
        <v>190</v>
      </c>
      <c r="AE28" s="310">
        <v>4</v>
      </c>
      <c r="AF28" s="310"/>
      <c r="AG28" s="416">
        <v>0</v>
      </c>
      <c r="AH28" s="444" t="s">
        <v>265</v>
      </c>
      <c r="AI28" s="446" t="s">
        <v>293</v>
      </c>
      <c r="AJ28" s="301" t="s">
        <v>265</v>
      </c>
      <c r="AK28" s="286"/>
      <c r="AL28" s="288"/>
      <c r="AM28" s="288"/>
      <c r="AN28" s="288"/>
      <c r="AO28" s="288"/>
    </row>
    <row r="29" spans="1:41" ht="12.75">
      <c r="A29" s="170">
        <v>40774</v>
      </c>
      <c r="B29" s="172" t="s">
        <v>291</v>
      </c>
      <c r="C29" s="361" t="s">
        <v>295</v>
      </c>
      <c r="D29" s="86"/>
      <c r="E29" s="11">
        <v>5</v>
      </c>
      <c r="F29" s="82">
        <v>18</v>
      </c>
      <c r="G29" s="11" t="str">
        <f t="shared" si="1"/>
        <v>E</v>
      </c>
      <c r="H29" s="11" t="str">
        <f t="shared" si="0"/>
        <v>5PIV</v>
      </c>
      <c r="I29" s="11">
        <v>3.52</v>
      </c>
      <c r="J29" s="12">
        <v>3.5</v>
      </c>
      <c r="K29" s="11">
        <v>0</v>
      </c>
      <c r="L29" s="33">
        <v>0.69</v>
      </c>
      <c r="M29" s="245">
        <v>4.6</v>
      </c>
      <c r="N29" s="245">
        <v>2.67</v>
      </c>
      <c r="O29" s="245">
        <v>2.67</v>
      </c>
      <c r="P29" s="245">
        <v>4.47</v>
      </c>
      <c r="Q29" s="245">
        <v>6.27</v>
      </c>
      <c r="R29" s="245">
        <v>1.2</v>
      </c>
      <c r="S29" s="245">
        <v>2.96</v>
      </c>
      <c r="T29" s="245">
        <v>3.05</v>
      </c>
      <c r="U29" s="245">
        <v>5.59</v>
      </c>
      <c r="V29" s="245">
        <v>5.68</v>
      </c>
      <c r="W29" s="245">
        <v>4.47</v>
      </c>
      <c r="X29" s="245">
        <v>4.09</v>
      </c>
      <c r="Y29" s="245">
        <v>1.43</v>
      </c>
      <c r="Z29" s="245">
        <v>1.41</v>
      </c>
      <c r="AA29" s="245">
        <v>1</v>
      </c>
      <c r="AB29" s="245">
        <v>1</v>
      </c>
      <c r="AC29" s="245">
        <v>1</v>
      </c>
      <c r="AD29" s="438" t="s">
        <v>385</v>
      </c>
      <c r="AE29" s="310">
        <v>5</v>
      </c>
      <c r="AF29" s="414"/>
      <c r="AG29" s="416">
        <v>0</v>
      </c>
      <c r="AH29" s="445" t="s">
        <v>292</v>
      </c>
      <c r="AI29" s="316" t="s">
        <v>268</v>
      </c>
      <c r="AJ29" s="316" t="s">
        <v>268</v>
      </c>
      <c r="AK29" s="302" t="s">
        <v>239</v>
      </c>
      <c r="AL29" s="288"/>
      <c r="AM29" s="288"/>
      <c r="AN29" s="288"/>
      <c r="AO29" s="288"/>
    </row>
    <row r="30" spans="1:41" ht="12.75">
      <c r="A30" s="168"/>
      <c r="B30" s="172" t="s">
        <v>271</v>
      </c>
      <c r="C30" s="361" t="s">
        <v>295</v>
      </c>
      <c r="D30" s="86"/>
      <c r="E30" s="11">
        <v>1</v>
      </c>
      <c r="F30" s="82"/>
      <c r="G30" s="11"/>
      <c r="H30" s="11" t="str">
        <f t="shared" si="0"/>
        <v>1GAR</v>
      </c>
      <c r="I30" s="11"/>
      <c r="J30" s="12"/>
      <c r="K30" s="11"/>
      <c r="L30" s="33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310"/>
      <c r="AF30" s="414"/>
      <c r="AG30" s="416">
        <v>0</v>
      </c>
      <c r="AH30" s="445"/>
      <c r="AI30" s="286"/>
      <c r="AJ30" s="286"/>
      <c r="AK30" s="286"/>
      <c r="AL30" s="288"/>
      <c r="AM30" s="288"/>
      <c r="AN30" s="288"/>
      <c r="AO30" s="288"/>
    </row>
    <row r="31" spans="1:41" ht="12.75">
      <c r="A31" s="173"/>
      <c r="B31" s="10" t="s">
        <v>400</v>
      </c>
      <c r="C31" s="410" t="s">
        <v>220</v>
      </c>
      <c r="D31" s="81"/>
      <c r="E31" s="38">
        <v>2</v>
      </c>
      <c r="F31" s="11">
        <v>24</v>
      </c>
      <c r="G31" s="11" t="str">
        <f>IF(F31&lt;22,"E","S")</f>
        <v>S</v>
      </c>
      <c r="H31" s="11" t="str">
        <f t="shared" si="0"/>
        <v>4AIL</v>
      </c>
      <c r="I31" s="11">
        <v>55</v>
      </c>
      <c r="J31" s="12"/>
      <c r="K31" s="11"/>
      <c r="L31" s="33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91"/>
      <c r="AB31" s="291"/>
      <c r="AC31" s="291"/>
      <c r="AD31" s="438"/>
      <c r="AE31" s="310"/>
      <c r="AF31" s="414"/>
      <c r="AG31" s="416">
        <v>0</v>
      </c>
      <c r="AH31" s="412"/>
      <c r="AI31" s="300" t="s">
        <v>238</v>
      </c>
      <c r="AJ31" s="300" t="s">
        <v>238</v>
      </c>
      <c r="AK31" s="286"/>
      <c r="AL31" s="288"/>
      <c r="AM31" s="288"/>
      <c r="AN31" s="288"/>
      <c r="AO31" s="288"/>
    </row>
    <row r="32" spans="1:41" ht="12.75">
      <c r="A32" s="170"/>
      <c r="B32" s="10" t="s">
        <v>399</v>
      </c>
      <c r="C32" s="397" t="s">
        <v>206</v>
      </c>
      <c r="D32" s="81"/>
      <c r="E32" s="38">
        <v>5</v>
      </c>
      <c r="F32" s="11">
        <v>32</v>
      </c>
      <c r="G32" s="11" t="str">
        <f>IF(F32&lt;22,"E","S")</f>
        <v>S</v>
      </c>
      <c r="H32" s="11" t="str">
        <f t="shared" si="0"/>
        <v>5PIV</v>
      </c>
      <c r="I32" s="11">
        <v>38.74</v>
      </c>
      <c r="J32" s="12"/>
      <c r="K32" s="11"/>
      <c r="L32" s="33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91"/>
      <c r="AB32" s="291"/>
      <c r="AC32" s="291"/>
      <c r="AD32" s="438"/>
      <c r="AE32" s="310"/>
      <c r="AF32" s="310"/>
      <c r="AG32" s="416">
        <v>0</v>
      </c>
      <c r="AH32" s="286"/>
      <c r="AI32" s="301" t="s">
        <v>265</v>
      </c>
      <c r="AJ32" s="505" t="s">
        <v>265</v>
      </c>
      <c r="AK32" s="506" t="s">
        <v>401</v>
      </c>
      <c r="AL32" s="288"/>
      <c r="AM32" s="288"/>
      <c r="AN32" s="288"/>
      <c r="AO32" s="288"/>
    </row>
    <row r="33" spans="1:41" ht="12.75">
      <c r="A33" s="242"/>
      <c r="B33" s="298"/>
      <c r="C33" s="243"/>
      <c r="D33" s="311"/>
      <c r="E33" s="312"/>
      <c r="F33" s="313"/>
      <c r="G33" s="299"/>
      <c r="H33" s="299"/>
      <c r="I33" s="299"/>
      <c r="J33" s="314"/>
      <c r="K33" s="299"/>
      <c r="L33" s="33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245"/>
      <c r="AE33" s="310"/>
      <c r="AF33" s="414"/>
      <c r="AG33" s="416"/>
      <c r="AH33" s="412"/>
      <c r="AI33" s="286"/>
      <c r="AJ33" s="286"/>
      <c r="AK33" s="286"/>
      <c r="AL33" s="288"/>
      <c r="AM33" s="288"/>
      <c r="AN33" s="288"/>
      <c r="AO33" s="288"/>
    </row>
    <row r="34" spans="1:41" ht="12.75">
      <c r="A34" s="242"/>
      <c r="B34" s="86"/>
      <c r="C34" s="139"/>
      <c r="D34" s="139"/>
      <c r="E34" s="38"/>
      <c r="F34" s="82"/>
      <c r="G34" s="11"/>
      <c r="H34" s="11"/>
      <c r="I34" s="11"/>
      <c r="J34" s="12"/>
      <c r="K34" s="11"/>
      <c r="L34" s="33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91"/>
      <c r="AB34" s="291"/>
      <c r="AC34" s="291"/>
      <c r="AD34" s="245"/>
      <c r="AE34" s="310"/>
      <c r="AF34" s="310"/>
      <c r="AG34" s="416"/>
      <c r="AH34" s="412"/>
      <c r="AI34" s="286"/>
      <c r="AJ34" s="286"/>
      <c r="AK34" s="286"/>
      <c r="AL34" s="288"/>
      <c r="AM34" s="288"/>
      <c r="AN34" s="288"/>
      <c r="AO34" s="288"/>
    </row>
    <row r="35" spans="1:41" ht="12.75">
      <c r="A35" s="242"/>
      <c r="B35" s="172"/>
      <c r="C35" s="139"/>
      <c r="D35" s="257"/>
      <c r="E35" s="38"/>
      <c r="F35" s="82"/>
      <c r="G35" s="11"/>
      <c r="H35" s="11"/>
      <c r="I35" s="11"/>
      <c r="J35" s="12"/>
      <c r="K35" s="11"/>
      <c r="L35" s="33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91"/>
      <c r="AD35" s="245"/>
      <c r="AE35" s="310"/>
      <c r="AF35" s="310"/>
      <c r="AG35" s="416"/>
      <c r="AH35" s="416"/>
      <c r="AI35" s="416"/>
      <c r="AJ35" s="416"/>
      <c r="AK35" s="416"/>
      <c r="AL35" s="288"/>
      <c r="AM35" s="288"/>
      <c r="AN35" s="288"/>
      <c r="AO35" s="288"/>
    </row>
    <row r="36" spans="1:41" ht="12.75">
      <c r="A36" s="242"/>
      <c r="B36" s="86"/>
      <c r="C36" s="243"/>
      <c r="D36" s="139"/>
      <c r="E36" s="38"/>
      <c r="F36" s="82"/>
      <c r="G36" s="11"/>
      <c r="H36" s="11"/>
      <c r="I36" s="11"/>
      <c r="J36" s="12"/>
      <c r="K36" s="11"/>
      <c r="L36" s="33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60"/>
      <c r="AF36" s="404"/>
      <c r="AG36" s="417"/>
      <c r="AH36" s="413"/>
      <c r="AI36" s="287"/>
      <c r="AJ36" s="287"/>
      <c r="AK36" s="287"/>
      <c r="AL36" s="288"/>
      <c r="AM36" s="288"/>
      <c r="AN36" s="288"/>
      <c r="AO36" s="288"/>
    </row>
    <row r="37" spans="1:41" s="4" customFormat="1" ht="12.75">
      <c r="A37" s="9"/>
      <c r="B37" s="9"/>
      <c r="C37" s="9"/>
      <c r="D37" s="139"/>
      <c r="E37" s="7"/>
      <c r="F37" s="51"/>
      <c r="G37" s="7"/>
      <c r="H37" s="7"/>
      <c r="I37" s="7"/>
      <c r="J37" s="7"/>
      <c r="K37" s="7"/>
      <c r="L37" s="30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G37" s="418">
        <f>SUM(AG2:AG34)</f>
        <v>28780</v>
      </c>
      <c r="AL37" s="288"/>
      <c r="AM37" s="288"/>
      <c r="AN37" s="288"/>
      <c r="AO37" s="288"/>
    </row>
    <row r="38" spans="4:37" ht="12.75">
      <c r="D38" s="9"/>
      <c r="E38" s="35" t="s">
        <v>3</v>
      </c>
      <c r="F38" s="52" t="s">
        <v>0</v>
      </c>
      <c r="G38" s="35"/>
      <c r="H38" s="49"/>
      <c r="I38" s="18" t="s">
        <v>22</v>
      </c>
      <c r="J38" s="18" t="s">
        <v>23</v>
      </c>
      <c r="K38" s="18"/>
      <c r="L38" s="18" t="s">
        <v>24</v>
      </c>
      <c r="M38" s="18" t="s">
        <v>55</v>
      </c>
      <c r="N38" s="18" t="s">
        <v>35</v>
      </c>
      <c r="O38" s="18" t="s">
        <v>56</v>
      </c>
      <c r="P38" s="18" t="s">
        <v>169</v>
      </c>
      <c r="Q38" s="18" t="s">
        <v>29</v>
      </c>
      <c r="R38" s="18" t="s">
        <v>170</v>
      </c>
      <c r="S38" s="18" t="s">
        <v>177</v>
      </c>
      <c r="T38" s="18" t="s">
        <v>178</v>
      </c>
      <c r="U38" s="18" t="s">
        <v>60</v>
      </c>
      <c r="V38" s="18" t="s">
        <v>34</v>
      </c>
      <c r="W38" s="18" t="s">
        <v>61</v>
      </c>
      <c r="X38" s="18" t="s">
        <v>30</v>
      </c>
      <c r="Y38" s="18" t="s">
        <v>179</v>
      </c>
      <c r="Z38" s="18" t="s">
        <v>182</v>
      </c>
      <c r="AA38" s="18" t="s">
        <v>71</v>
      </c>
      <c r="AB38" s="18" t="s">
        <v>180</v>
      </c>
      <c r="AC38" s="18" t="s">
        <v>181</v>
      </c>
      <c r="AG38" s="306" t="s">
        <v>238</v>
      </c>
      <c r="AH38" s="286">
        <f>COUNTIF(AH$2:AH$36,$AG38)</f>
        <v>7</v>
      </c>
      <c r="AI38" s="286">
        <f>COUNTIF(AI$2:AI$36,$AG38)</f>
        <v>7</v>
      </c>
      <c r="AJ38" s="286">
        <f>COUNTIF(AJ$2:AJ$36,$AG38)</f>
        <v>7</v>
      </c>
      <c r="AK38" s="286">
        <f>COUNTIF(AK$2:AK$36,$AG38)</f>
        <v>7</v>
      </c>
    </row>
    <row r="39" spans="2:37" ht="12.75">
      <c r="B39" s="509" t="s">
        <v>65</v>
      </c>
      <c r="C39" s="238"/>
      <c r="E39" s="40"/>
      <c r="F39" s="125">
        <f>SUMIF($H$2:$H$36,"3DMC",F$2:F$36)/COUNTIF($H$2:$H$36,"3DMC")</f>
        <v>21.5</v>
      </c>
      <c r="G39" s="41"/>
      <c r="H39" s="74"/>
      <c r="I39" s="263">
        <f aca="true" t="shared" si="2" ref="I39:AC39">SUMIF($H$2:$H$36,"3DMC",I$2:I$36)/COUNTIF($H$2:$H$36,"3DMC")</f>
        <v>27.0225</v>
      </c>
      <c r="J39" s="263">
        <f t="shared" si="2"/>
        <v>65.4575</v>
      </c>
      <c r="K39" s="263"/>
      <c r="L39" s="33">
        <f t="shared" si="2"/>
        <v>0.89</v>
      </c>
      <c r="M39" s="263">
        <f t="shared" si="2"/>
        <v>14.1025</v>
      </c>
      <c r="N39" s="263">
        <f t="shared" si="2"/>
        <v>62.30499999999999</v>
      </c>
      <c r="O39" s="263">
        <f t="shared" si="2"/>
        <v>43.815</v>
      </c>
      <c r="P39" s="263">
        <f t="shared" si="2"/>
        <v>49.4825</v>
      </c>
      <c r="Q39" s="263">
        <f t="shared" si="2"/>
        <v>22.465</v>
      </c>
      <c r="R39" s="263">
        <f t="shared" si="2"/>
        <v>29.139999999999997</v>
      </c>
      <c r="S39" s="263">
        <f t="shared" si="2"/>
        <v>25.6425</v>
      </c>
      <c r="T39" s="263">
        <f t="shared" si="2"/>
        <v>13.26</v>
      </c>
      <c r="U39" s="263">
        <f t="shared" si="2"/>
        <v>29.6175</v>
      </c>
      <c r="V39" s="263">
        <f t="shared" si="2"/>
        <v>26.82</v>
      </c>
      <c r="W39" s="263">
        <f t="shared" si="2"/>
        <v>24.9475</v>
      </c>
      <c r="X39" s="263">
        <f t="shared" si="2"/>
        <v>26.950000000000006</v>
      </c>
      <c r="Y39" s="263">
        <f t="shared" si="2"/>
        <v>22.462500000000002</v>
      </c>
      <c r="Z39" s="263">
        <f t="shared" si="2"/>
        <v>5.359999999999999</v>
      </c>
      <c r="AA39" s="263">
        <f t="shared" si="2"/>
        <v>1</v>
      </c>
      <c r="AB39" s="263">
        <f t="shared" si="2"/>
        <v>1</v>
      </c>
      <c r="AC39" s="263">
        <f t="shared" si="2"/>
        <v>1</v>
      </c>
      <c r="AG39" s="306" t="s">
        <v>266</v>
      </c>
      <c r="AH39" s="286">
        <f aca="true" t="shared" si="3" ref="AH39:AK45">COUNTIF(AH$2:AH$36,$AG39)</f>
        <v>0</v>
      </c>
      <c r="AI39" s="286">
        <f t="shared" si="3"/>
        <v>0</v>
      </c>
      <c r="AJ39" s="286">
        <f t="shared" si="3"/>
        <v>0</v>
      </c>
      <c r="AK39" s="286">
        <f t="shared" si="3"/>
        <v>0</v>
      </c>
    </row>
    <row r="40" spans="2:37" ht="12.75">
      <c r="B40" s="509"/>
      <c r="C40" s="239"/>
      <c r="D40" s="238"/>
      <c r="E40" s="43"/>
      <c r="F40" s="90" t="str">
        <f>COUNTIF($I40:$AA40,"S1")&amp;" x "&amp;COUNTIF($I40:$AA40,"S2")</f>
        <v>0 x 0</v>
      </c>
      <c r="G40" s="1"/>
      <c r="H40" s="76"/>
      <c r="I40" s="264"/>
      <c r="J40" s="5"/>
      <c r="K40" s="5"/>
      <c r="L40" s="44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8"/>
      <c r="AB40" s="3"/>
      <c r="AC40" s="3"/>
      <c r="AG40" s="306" t="s">
        <v>265</v>
      </c>
      <c r="AH40" s="286">
        <f t="shared" si="3"/>
        <v>4</v>
      </c>
      <c r="AI40" s="286">
        <f t="shared" si="3"/>
        <v>5</v>
      </c>
      <c r="AJ40" s="286">
        <f t="shared" si="3"/>
        <v>7</v>
      </c>
      <c r="AK40" s="286">
        <f t="shared" si="3"/>
        <v>6</v>
      </c>
    </row>
    <row r="41" spans="2:37" ht="12.75">
      <c r="B41" s="509"/>
      <c r="C41" s="240"/>
      <c r="D41" s="239"/>
      <c r="E41" s="45"/>
      <c r="F41" s="83"/>
      <c r="G41" s="46"/>
      <c r="H41" s="62"/>
      <c r="I41" s="265"/>
      <c r="J41" s="266"/>
      <c r="K41" s="266"/>
      <c r="L41" s="4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8"/>
      <c r="AB41" s="3"/>
      <c r="AC41" s="3"/>
      <c r="AG41" s="306" t="s">
        <v>267</v>
      </c>
      <c r="AH41" s="286">
        <f t="shared" si="3"/>
        <v>0</v>
      </c>
      <c r="AI41" s="286">
        <f t="shared" si="3"/>
        <v>5</v>
      </c>
      <c r="AJ41" s="286">
        <f t="shared" si="3"/>
        <v>2</v>
      </c>
      <c r="AK41" s="286">
        <f t="shared" si="3"/>
        <v>0</v>
      </c>
    </row>
    <row r="42" spans="2:37" ht="12.75">
      <c r="B42" s="509" t="s">
        <v>93</v>
      </c>
      <c r="C42" s="238"/>
      <c r="D42" s="240"/>
      <c r="E42" s="40"/>
      <c r="F42" s="124">
        <f>SUMIF($H$2:$H$36,"2ARR",F$2:F$36)/COUNTIF($H$2:$H$36,"2ARR")</f>
        <v>22.714285714285715</v>
      </c>
      <c r="G42" s="41"/>
      <c r="H42" s="74"/>
      <c r="I42" s="263">
        <f>SUMIF($H$2:$H$36,"2ARR",I$2:I$36)/COUNTIF($H$2:$H$36,"2ARR")</f>
        <v>35.72714285714286</v>
      </c>
      <c r="J42" s="263">
        <f aca="true" t="shared" si="4" ref="J42:AC42">SUMIF($H$2:$H$36,"2ARR",J$2:J$36)/COUNTIF($H$2:$H$36,"2ARR")</f>
        <v>66.37571428571428</v>
      </c>
      <c r="K42" s="263"/>
      <c r="L42" s="33">
        <f>SUMIF($H$2:$H$36,"2ARR",L$2:L$36)/COUNTIF($H$2:$H$36,"2ARR")</f>
        <v>0.8842857142857142</v>
      </c>
      <c r="M42" s="263">
        <f t="shared" si="4"/>
        <v>53.925714285714285</v>
      </c>
      <c r="N42" s="263">
        <f t="shared" si="4"/>
        <v>69.72</v>
      </c>
      <c r="O42" s="263">
        <f t="shared" si="4"/>
        <v>26.12142857142857</v>
      </c>
      <c r="P42" s="263">
        <f t="shared" si="4"/>
        <v>103.62857142857142</v>
      </c>
      <c r="Q42" s="263">
        <f t="shared" si="4"/>
        <v>76.49714285714286</v>
      </c>
      <c r="R42" s="263">
        <f t="shared" si="4"/>
        <v>17.17142857142857</v>
      </c>
      <c r="S42" s="263">
        <f t="shared" si="4"/>
        <v>24.15285714285714</v>
      </c>
      <c r="T42" s="263">
        <f t="shared" si="4"/>
        <v>16.975714285714286</v>
      </c>
      <c r="U42" s="263">
        <f t="shared" si="4"/>
        <v>35.307142857142864</v>
      </c>
      <c r="V42" s="263">
        <f t="shared" si="4"/>
        <v>32.69857142857143</v>
      </c>
      <c r="W42" s="263">
        <f t="shared" si="4"/>
        <v>40.63285714285714</v>
      </c>
      <c r="X42" s="263">
        <f t="shared" si="4"/>
        <v>34.09285714285714</v>
      </c>
      <c r="Y42" s="263">
        <f t="shared" si="4"/>
        <v>5.582857142857144</v>
      </c>
      <c r="Z42" s="263">
        <f t="shared" si="4"/>
        <v>10.39857142857143</v>
      </c>
      <c r="AA42" s="263">
        <f t="shared" si="4"/>
        <v>1</v>
      </c>
      <c r="AB42" s="263">
        <f t="shared" si="4"/>
        <v>1</v>
      </c>
      <c r="AC42" s="263">
        <f t="shared" si="4"/>
        <v>1</v>
      </c>
      <c r="AG42" s="306" t="s">
        <v>239</v>
      </c>
      <c r="AH42" s="286">
        <f t="shared" si="3"/>
        <v>7</v>
      </c>
      <c r="AI42" s="286">
        <f t="shared" si="3"/>
        <v>3</v>
      </c>
      <c r="AJ42" s="286">
        <f t="shared" si="3"/>
        <v>5</v>
      </c>
      <c r="AK42" s="286">
        <f t="shared" si="3"/>
        <v>3</v>
      </c>
    </row>
    <row r="43" spans="2:37" ht="12.75">
      <c r="B43" s="509"/>
      <c r="C43" s="239"/>
      <c r="D43" s="238"/>
      <c r="E43" s="43"/>
      <c r="F43" s="90" t="str">
        <f>COUNTIF($I43:$AA43,"S1")&amp;" x "&amp;COUNTIF($I43:$AA43,"S2")</f>
        <v>0 x 0</v>
      </c>
      <c r="G43" s="1"/>
      <c r="H43" s="77"/>
      <c r="I43" s="5"/>
      <c r="J43" s="5"/>
      <c r="K43" s="5"/>
      <c r="L43" s="44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8"/>
      <c r="AB43" s="3"/>
      <c r="AC43" s="3"/>
      <c r="AG43" s="306" t="s">
        <v>240</v>
      </c>
      <c r="AH43" s="286">
        <f t="shared" si="3"/>
        <v>2</v>
      </c>
      <c r="AI43" s="286">
        <f t="shared" si="3"/>
        <v>2</v>
      </c>
      <c r="AJ43" s="286">
        <f t="shared" si="3"/>
        <v>2</v>
      </c>
      <c r="AK43" s="286">
        <f t="shared" si="3"/>
        <v>0</v>
      </c>
    </row>
    <row r="44" spans="2:37" ht="12.75">
      <c r="B44" s="509"/>
      <c r="C44" s="240"/>
      <c r="D44" s="239"/>
      <c r="E44" s="45"/>
      <c r="F44" s="83"/>
      <c r="G44" s="46"/>
      <c r="H44" s="63"/>
      <c r="I44" s="266"/>
      <c r="J44" s="266"/>
      <c r="K44" s="266"/>
      <c r="L44" s="4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8"/>
      <c r="AB44" s="3"/>
      <c r="AC44" s="3"/>
      <c r="AG44" s="306" t="s">
        <v>241</v>
      </c>
      <c r="AH44" s="286">
        <f t="shared" si="3"/>
        <v>2</v>
      </c>
      <c r="AI44" s="286">
        <f t="shared" si="3"/>
        <v>1</v>
      </c>
      <c r="AJ44" s="286">
        <f t="shared" si="3"/>
        <v>0</v>
      </c>
      <c r="AK44" s="286">
        <f t="shared" si="3"/>
        <v>0</v>
      </c>
    </row>
    <row r="45" spans="2:37" ht="12.75">
      <c r="B45" s="509" t="s">
        <v>64</v>
      </c>
      <c r="C45" s="238"/>
      <c r="D45" s="240"/>
      <c r="E45" s="40"/>
      <c r="F45" s="124">
        <f>SUMIF($H$2:$H$36,"4AIL",F$2:F$36)/COUNTIF($H$2:$H$36,"4AIL")</f>
        <v>23.444444444444443</v>
      </c>
      <c r="G45" s="41"/>
      <c r="H45" s="74"/>
      <c r="I45" s="263">
        <f>SUMIF($H$2:$H$36,"4AIL",I$2:I$36)/COUNTIF($H$2:$H$36,"4AIL")</f>
        <v>37.044444444444444</v>
      </c>
      <c r="J45" s="263">
        <f>SUMIF($H$2:$H$36,"4AIL",J$2:J$36)/COUNTIF($H$2:$H$36,"4AIL")</f>
        <v>76.82444444444445</v>
      </c>
      <c r="K45" s="263"/>
      <c r="L45" s="33">
        <f>SUMIF($H$2:$H$36,"4AIL",L$2:L$36)/COUNTIF($H$2:$H$36,"4AIL")</f>
        <v>0.7911111111111111</v>
      </c>
      <c r="M45" s="263">
        <f>SUMIF($H$2:$H$36,"4AIL",M$2:M$36)/COUNTIF($H$2:$H$36,"4AIL")</f>
        <v>42.135555555555555</v>
      </c>
      <c r="N45" s="263">
        <f aca="true" t="shared" si="5" ref="N45:AC45">SUMIF($H$2:$H$36,"4AIL",N$2:N$36)/COUNTIF($H$2:$H$36,"4AIL")</f>
        <v>55.85222222222223</v>
      </c>
      <c r="O45" s="263">
        <f t="shared" si="5"/>
        <v>28.055555555555557</v>
      </c>
      <c r="P45" s="263">
        <f t="shared" si="5"/>
        <v>77.49444444444445</v>
      </c>
      <c r="Q45" s="263">
        <f t="shared" si="5"/>
        <v>68.19777777777776</v>
      </c>
      <c r="R45" s="263">
        <f t="shared" si="5"/>
        <v>9.25</v>
      </c>
      <c r="S45" s="263">
        <f t="shared" si="5"/>
        <v>32.29333333333333</v>
      </c>
      <c r="T45" s="263">
        <f t="shared" si="5"/>
        <v>9.027777777777779</v>
      </c>
      <c r="U45" s="263">
        <f t="shared" si="5"/>
        <v>27.695555555555554</v>
      </c>
      <c r="V45" s="263">
        <f t="shared" si="5"/>
        <v>27.193333333333328</v>
      </c>
      <c r="W45" s="263">
        <f t="shared" si="5"/>
        <v>39.58333333333334</v>
      </c>
      <c r="X45" s="263">
        <f t="shared" si="5"/>
        <v>32.635555555555555</v>
      </c>
      <c r="Y45" s="263">
        <f t="shared" si="5"/>
        <v>1.1533333333333333</v>
      </c>
      <c r="Z45" s="263">
        <f t="shared" si="5"/>
        <v>4.44</v>
      </c>
      <c r="AA45" s="263">
        <f t="shared" si="5"/>
        <v>0.8888888888888888</v>
      </c>
      <c r="AB45" s="263">
        <f t="shared" si="5"/>
        <v>0.8888888888888888</v>
      </c>
      <c r="AC45" s="263">
        <f t="shared" si="5"/>
        <v>0.8888888888888888</v>
      </c>
      <c r="AG45" s="306" t="s">
        <v>268</v>
      </c>
      <c r="AH45" s="286">
        <f t="shared" si="3"/>
        <v>0</v>
      </c>
      <c r="AI45" s="286">
        <f t="shared" si="3"/>
        <v>4</v>
      </c>
      <c r="AJ45" s="286">
        <f t="shared" si="3"/>
        <v>2</v>
      </c>
      <c r="AK45" s="286">
        <f t="shared" si="3"/>
        <v>0</v>
      </c>
    </row>
    <row r="46" spans="2:29" ht="12.75">
      <c r="B46" s="509"/>
      <c r="C46" s="239"/>
      <c r="D46" s="238"/>
      <c r="E46" s="43"/>
      <c r="F46" s="90" t="str">
        <f>COUNTIF($I46:$AA46,"S1")&amp;" x "&amp;COUNTIF($I46:$AA46,"S2")</f>
        <v>0 x 0</v>
      </c>
      <c r="G46" s="1"/>
      <c r="H46" s="77"/>
      <c r="I46" s="5"/>
      <c r="J46" s="5"/>
      <c r="K46" s="5"/>
      <c r="L46" s="44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9"/>
      <c r="Y46" s="267"/>
      <c r="Z46" s="267"/>
      <c r="AA46" s="268"/>
      <c r="AB46" s="3"/>
      <c r="AC46" s="3"/>
    </row>
    <row r="47" spans="2:37" ht="12.75">
      <c r="B47" s="509"/>
      <c r="C47" s="240"/>
      <c r="D47" s="239"/>
      <c r="E47" s="45"/>
      <c r="F47" s="83"/>
      <c r="G47" s="46"/>
      <c r="H47" s="63"/>
      <c r="I47" s="266"/>
      <c r="J47" s="266"/>
      <c r="K47" s="266"/>
      <c r="L47" s="4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9"/>
      <c r="Y47" s="267"/>
      <c r="Z47" s="267"/>
      <c r="AA47" s="268"/>
      <c r="AB47" s="3"/>
      <c r="AC47" s="3"/>
      <c r="AG47" s="307" t="s">
        <v>269</v>
      </c>
      <c r="AH47" s="295">
        <f>SUM(AH38:AH40)</f>
        <v>11</v>
      </c>
      <c r="AI47" s="295">
        <f>SUM(AI38:AI40)</f>
        <v>12</v>
      </c>
      <c r="AJ47" s="295">
        <f>SUM(AJ38:AJ40)</f>
        <v>14</v>
      </c>
      <c r="AK47" s="295">
        <f>SUM(AK38:AK40)</f>
        <v>13</v>
      </c>
    </row>
    <row r="48" spans="2:37" ht="12.75">
      <c r="B48" s="509" t="s">
        <v>66</v>
      </c>
      <c r="C48" s="238"/>
      <c r="D48" s="240"/>
      <c r="E48" s="40"/>
      <c r="F48" s="124">
        <f>SUMIF($H$2:$H$36,"5PIV",F$2:F$36)/COUNTIF($H$2:$H$36,"5PIV")</f>
        <v>23.666666666666668</v>
      </c>
      <c r="G48" s="41"/>
      <c r="H48" s="74"/>
      <c r="I48" s="263">
        <f>SUMIF($H$2:$H$36,"5PIV",I$2:I$36)/COUNTIF($H$2:$H$36,"5PIV")</f>
        <v>30.575000000000003</v>
      </c>
      <c r="J48" s="263">
        <f>SUMIF($H$2:$H$36,"5PIV",J$2:J$36)/COUNTIF($H$2:$H$36,"5PIV")</f>
        <v>55.67499999999999</v>
      </c>
      <c r="K48" s="263"/>
      <c r="L48" s="33">
        <f>SUMIF($H$2:$H$36,"5PIV",L$2:L$36)/COUNTIF($H$2:$H$36,"5PIV")</f>
        <v>0.695</v>
      </c>
      <c r="M48" s="263">
        <f aca="true" t="shared" si="6" ref="M48:AC48">SUMIF($H$2:$H$36,"5PIV",M$2:M$36)/COUNTIF($H$2:$H$36,"5PIV")</f>
        <v>8.323333333333334</v>
      </c>
      <c r="N48" s="263">
        <f t="shared" si="6"/>
        <v>55.915</v>
      </c>
      <c r="O48" s="263">
        <f t="shared" si="6"/>
        <v>37.635</v>
      </c>
      <c r="P48" s="263">
        <f t="shared" si="6"/>
        <v>44.028333333333336</v>
      </c>
      <c r="Q48" s="263">
        <f t="shared" si="6"/>
        <v>23.22666666666667</v>
      </c>
      <c r="R48" s="263">
        <f t="shared" si="6"/>
        <v>33.86833333333333</v>
      </c>
      <c r="S48" s="263">
        <f t="shared" si="6"/>
        <v>21.22333333333333</v>
      </c>
      <c r="T48" s="263">
        <f t="shared" si="6"/>
        <v>9.844999999999999</v>
      </c>
      <c r="U48" s="263">
        <f t="shared" si="6"/>
        <v>18.9</v>
      </c>
      <c r="V48" s="263">
        <f t="shared" si="6"/>
        <v>21.790000000000003</v>
      </c>
      <c r="W48" s="263">
        <f t="shared" si="6"/>
        <v>12.611666666666666</v>
      </c>
      <c r="X48" s="263">
        <f t="shared" si="6"/>
        <v>26.151666666666667</v>
      </c>
      <c r="Y48" s="263">
        <f t="shared" si="6"/>
        <v>35.39833333333333</v>
      </c>
      <c r="Z48" s="263">
        <f t="shared" si="6"/>
        <v>3.465</v>
      </c>
      <c r="AA48" s="263">
        <f t="shared" si="6"/>
        <v>0.8333333333333334</v>
      </c>
      <c r="AB48" s="263">
        <f t="shared" si="6"/>
        <v>0.8333333333333334</v>
      </c>
      <c r="AC48" s="263">
        <f t="shared" si="6"/>
        <v>0.8333333333333334</v>
      </c>
      <c r="AG48" s="307" t="s">
        <v>270</v>
      </c>
      <c r="AH48" s="295">
        <f>SUM(AH41:AH45)</f>
        <v>11</v>
      </c>
      <c r="AI48" s="295">
        <f>SUM(AI41:AI45)</f>
        <v>15</v>
      </c>
      <c r="AJ48" s="295">
        <f>SUM(AJ41:AJ45)</f>
        <v>11</v>
      </c>
      <c r="AK48" s="295">
        <f>SUM(AK41:AK45)</f>
        <v>3</v>
      </c>
    </row>
    <row r="49" spans="2:29" ht="12.75">
      <c r="B49" s="509"/>
      <c r="C49" s="239"/>
      <c r="D49" s="238"/>
      <c r="E49" s="43"/>
      <c r="F49" s="90" t="str">
        <f>COUNTIF($I49:$AA49,"S1")&amp;" x "&amp;COUNTIF($I49:$AA49,"S2")</f>
        <v>0 x 0</v>
      </c>
      <c r="G49" s="1"/>
      <c r="H49" s="76"/>
      <c r="I49" s="264"/>
      <c r="J49" s="5"/>
      <c r="K49" s="5"/>
      <c r="L49" s="44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9"/>
      <c r="Y49" s="267"/>
      <c r="Z49" s="267"/>
      <c r="AA49" s="268"/>
      <c r="AB49" s="3"/>
      <c r="AC49" s="3"/>
    </row>
    <row r="50" spans="2:37" ht="12.75">
      <c r="B50" s="509"/>
      <c r="C50" s="240"/>
      <c r="D50" s="239"/>
      <c r="E50" s="45"/>
      <c r="F50" s="83"/>
      <c r="G50" s="46"/>
      <c r="H50" s="62"/>
      <c r="I50" s="265"/>
      <c r="J50" s="266"/>
      <c r="K50" s="266"/>
      <c r="L50" s="4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8"/>
      <c r="AB50" s="3"/>
      <c r="AC50" s="3"/>
      <c r="AG50" s="306" t="s">
        <v>183</v>
      </c>
      <c r="AH50" s="286">
        <f>SUM(AH38:AH45)</f>
        <v>22</v>
      </c>
      <c r="AI50" s="286">
        <f>SUM(AI38:AI45)</f>
        <v>27</v>
      </c>
      <c r="AJ50" s="286">
        <f>SUM(AJ38:AJ45)</f>
        <v>25</v>
      </c>
      <c r="AK50" s="286">
        <f>SUM(AK38:AK45)</f>
        <v>16</v>
      </c>
    </row>
    <row r="51" spans="2:29" ht="12.75">
      <c r="B51" s="520" t="s">
        <v>195</v>
      </c>
      <c r="C51" s="239"/>
      <c r="D51" s="239"/>
      <c r="E51" s="43"/>
      <c r="F51" s="124" t="e">
        <f>SUMIF($D$2:$D$36,"T",F$2:F$36)/COUNTIF($D$2:$D$36,"T")</f>
        <v>#DIV/0!</v>
      </c>
      <c r="G51" s="1"/>
      <c r="H51" s="76"/>
      <c r="I51" s="263" t="e">
        <f aca="true" t="shared" si="7" ref="I51:AC51">SUMIF($D$2:$D$36,"T",I$2:I$36)/COUNTIF($D$2:$D$36,"T")</f>
        <v>#DIV/0!</v>
      </c>
      <c r="J51" s="263" t="e">
        <f t="shared" si="7"/>
        <v>#DIV/0!</v>
      </c>
      <c r="K51" s="263"/>
      <c r="L51" s="33" t="e">
        <f t="shared" si="7"/>
        <v>#DIV/0!</v>
      </c>
      <c r="M51" s="263" t="e">
        <f t="shared" si="7"/>
        <v>#DIV/0!</v>
      </c>
      <c r="N51" s="263" t="e">
        <f t="shared" si="7"/>
        <v>#DIV/0!</v>
      </c>
      <c r="O51" s="263" t="e">
        <f t="shared" si="7"/>
        <v>#DIV/0!</v>
      </c>
      <c r="P51" s="263" t="e">
        <f t="shared" si="7"/>
        <v>#DIV/0!</v>
      </c>
      <c r="Q51" s="263" t="e">
        <f t="shared" si="7"/>
        <v>#DIV/0!</v>
      </c>
      <c r="R51" s="263" t="e">
        <f t="shared" si="7"/>
        <v>#DIV/0!</v>
      </c>
      <c r="S51" s="263" t="e">
        <f t="shared" si="7"/>
        <v>#DIV/0!</v>
      </c>
      <c r="T51" s="263" t="e">
        <f t="shared" si="7"/>
        <v>#DIV/0!</v>
      </c>
      <c r="U51" s="263" t="e">
        <f t="shared" si="7"/>
        <v>#DIV/0!</v>
      </c>
      <c r="V51" s="263" t="e">
        <f t="shared" si="7"/>
        <v>#DIV/0!</v>
      </c>
      <c r="W51" s="263" t="e">
        <f t="shared" si="7"/>
        <v>#DIV/0!</v>
      </c>
      <c r="X51" s="263" t="e">
        <f t="shared" si="7"/>
        <v>#DIV/0!</v>
      </c>
      <c r="Y51" s="263" t="e">
        <f t="shared" si="7"/>
        <v>#DIV/0!</v>
      </c>
      <c r="Z51" s="263" t="e">
        <f t="shared" si="7"/>
        <v>#DIV/0!</v>
      </c>
      <c r="AA51" s="263" t="e">
        <f t="shared" si="7"/>
        <v>#DIV/0!</v>
      </c>
      <c r="AB51" s="263" t="e">
        <f t="shared" si="7"/>
        <v>#DIV/0!</v>
      </c>
      <c r="AC51" s="263" t="e">
        <f t="shared" si="7"/>
        <v>#DIV/0!</v>
      </c>
    </row>
    <row r="52" spans="2:29" ht="12.75">
      <c r="B52" s="521"/>
      <c r="C52" s="239"/>
      <c r="D52" s="239"/>
      <c r="E52" s="43"/>
      <c r="F52" s="90" t="str">
        <f>COUNTIF($I52:$AA52,"S1")&amp;" x "&amp;COUNTIF($I52:$AA52,"S2")</f>
        <v>0 x 0</v>
      </c>
      <c r="G52" s="1"/>
      <c r="H52" s="76"/>
      <c r="I52" s="265"/>
      <c r="J52" s="266"/>
      <c r="K52" s="266"/>
      <c r="L52" s="4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8"/>
      <c r="AB52" s="3"/>
      <c r="AC52" s="3"/>
    </row>
    <row r="53" spans="2:29" ht="12.75">
      <c r="B53" s="522"/>
      <c r="C53" s="239"/>
      <c r="D53" s="239"/>
      <c r="E53" s="43"/>
      <c r="F53" s="201"/>
      <c r="G53" s="1"/>
      <c r="H53" s="76"/>
      <c r="I53" s="265"/>
      <c r="J53" s="266"/>
      <c r="K53" s="266"/>
      <c r="L53" s="4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8"/>
      <c r="AB53" s="3"/>
      <c r="AC53" s="3"/>
    </row>
    <row r="54" spans="2:29" ht="12.75">
      <c r="B54" s="509" t="s">
        <v>80</v>
      </c>
      <c r="C54" s="238"/>
      <c r="D54" s="240"/>
      <c r="E54" s="40"/>
      <c r="F54" s="124">
        <f>SUMIF($H$2:$H$36,"1GAR",F$2:F$36)/COUNTIF($H$2:$H$36,"1GAR")</f>
        <v>17.6</v>
      </c>
      <c r="G54" s="41"/>
      <c r="H54" s="74"/>
      <c r="I54" s="263">
        <f>SUMIF($H$2:$H$36,"1GAR",I$2:I$36)/COUNTIF($H$2:$H$36,"1GAR")</f>
        <v>26.386000000000003</v>
      </c>
      <c r="J54" s="263">
        <f>SUMIF($H$2:$H$36,"1GAR",J$2:J$36)/COUNTIF($H$2:$H$36,"1GAR")</f>
        <v>61.040000000000006</v>
      </c>
      <c r="K54" s="263"/>
      <c r="L54" s="33">
        <f>SUMIF($H$2:$H$36,"1GAR",L$2:L$36)/COUNTIF($H$2:$H$36,"1GAR")</f>
        <v>0.6759999999999999</v>
      </c>
      <c r="M54" s="263">
        <f aca="true" t="shared" si="8" ref="M54:AC54">SUMIF($H$2:$H$36,"1GAR",M$2:M$36)/COUNTIF($H$2:$H$36,"1GAR")</f>
        <v>0.8</v>
      </c>
      <c r="N54" s="263">
        <f t="shared" si="8"/>
        <v>25.092</v>
      </c>
      <c r="O54" s="263">
        <f t="shared" si="8"/>
        <v>11.624</v>
      </c>
      <c r="P54" s="263">
        <f t="shared" si="8"/>
        <v>13.222</v>
      </c>
      <c r="Q54" s="263">
        <f t="shared" si="8"/>
        <v>5.54</v>
      </c>
      <c r="R54" s="263">
        <f t="shared" si="8"/>
        <v>0.8</v>
      </c>
      <c r="S54" s="263">
        <f t="shared" si="8"/>
        <v>5.54</v>
      </c>
      <c r="T54" s="263">
        <f t="shared" si="8"/>
        <v>5.54</v>
      </c>
      <c r="U54" s="263">
        <f t="shared" si="8"/>
        <v>5.6240000000000006</v>
      </c>
      <c r="V54" s="263">
        <f t="shared" si="8"/>
        <v>8.616</v>
      </c>
      <c r="W54" s="263">
        <f t="shared" si="8"/>
        <v>6.774000000000001</v>
      </c>
      <c r="X54" s="263">
        <f t="shared" si="8"/>
        <v>30.841999999999995</v>
      </c>
      <c r="Y54" s="263">
        <f t="shared" si="8"/>
        <v>2.3880000000000003</v>
      </c>
      <c r="Z54" s="263">
        <f t="shared" si="8"/>
        <v>2.246</v>
      </c>
      <c r="AA54" s="263">
        <f t="shared" si="8"/>
        <v>50.63999999999999</v>
      </c>
      <c r="AB54" s="263">
        <f t="shared" si="8"/>
        <v>35.248000000000005</v>
      </c>
      <c r="AC54" s="263">
        <f t="shared" si="8"/>
        <v>33.256</v>
      </c>
    </row>
    <row r="55" spans="2:29" ht="12.75">
      <c r="B55" s="509"/>
      <c r="C55" s="239"/>
      <c r="D55" s="238"/>
      <c r="E55" s="43"/>
      <c r="F55" s="90" t="str">
        <f>COUNTIF($I55:$AA55,"S1")&amp;" x "&amp;COUNTIF($I55:$AA55,"S2")</f>
        <v>0 x 0</v>
      </c>
      <c r="G55" s="1"/>
      <c r="H55" s="76"/>
      <c r="I55" s="264"/>
      <c r="J55" s="5"/>
      <c r="K55" s="5"/>
      <c r="L55" s="44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9"/>
      <c r="Y55" s="267"/>
      <c r="Z55" s="267"/>
      <c r="AA55" s="268"/>
      <c r="AB55" s="3"/>
      <c r="AC55" s="3"/>
    </row>
    <row r="56" spans="2:29" ht="12.75">
      <c r="B56" s="509"/>
      <c r="C56" s="240"/>
      <c r="D56" s="239"/>
      <c r="E56" s="45"/>
      <c r="F56" s="83"/>
      <c r="G56" s="46"/>
      <c r="H56" s="62"/>
      <c r="I56" s="265"/>
      <c r="J56" s="266"/>
      <c r="K56" s="266"/>
      <c r="L56" s="4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8"/>
      <c r="AB56" s="3"/>
      <c r="AC56" s="3"/>
    </row>
    <row r="57" spans="2:29" ht="12.75">
      <c r="B57" s="202" t="s">
        <v>142</v>
      </c>
      <c r="C57" s="241"/>
      <c r="D57" s="240"/>
      <c r="E57" s="203"/>
      <c r="F57" s="204"/>
      <c r="G57" s="203"/>
      <c r="H57" s="259"/>
      <c r="I57" s="263">
        <f>SUM(I$2:I$36)/A1</f>
        <v>35.962857142857146</v>
      </c>
      <c r="J57" s="263">
        <f>SUM(J$2:J$36)/$A$1</f>
        <v>73.46892857142858</v>
      </c>
      <c r="K57" s="263"/>
      <c r="L57" s="33">
        <f>SUM(L$2:L$36)/A1</f>
        <v>0.8721428571428572</v>
      </c>
      <c r="M57" s="263">
        <f aca="true" t="shared" si="9" ref="M57:AC57">SUM(M$2:M$36)/$A$1</f>
        <v>30.966071428571432</v>
      </c>
      <c r="N57" s="263">
        <f t="shared" si="9"/>
        <v>60.74571428571429</v>
      </c>
      <c r="O57" s="263">
        <f t="shared" si="9"/>
        <v>31.94785714285714</v>
      </c>
      <c r="P57" s="263">
        <f t="shared" si="9"/>
        <v>69.68071428571429</v>
      </c>
      <c r="Q57" s="263">
        <f t="shared" si="9"/>
        <v>50.22071428571429</v>
      </c>
      <c r="R57" s="263">
        <f t="shared" si="9"/>
        <v>18.829285714285714</v>
      </c>
      <c r="S57" s="263">
        <f t="shared" si="9"/>
        <v>25.618571428571425</v>
      </c>
      <c r="T57" s="263">
        <f t="shared" si="9"/>
        <v>12.138928571428576</v>
      </c>
      <c r="U57" s="263">
        <f t="shared" si="9"/>
        <v>27.014285714285723</v>
      </c>
      <c r="V57" s="263">
        <f t="shared" si="9"/>
        <v>26.954642857142858</v>
      </c>
      <c r="W57" s="263">
        <f t="shared" si="9"/>
        <v>30.357499999999998</v>
      </c>
      <c r="X57" s="263">
        <f t="shared" si="9"/>
        <v>33.974642857142854</v>
      </c>
      <c r="Y57" s="263">
        <f t="shared" si="9"/>
        <v>12.987142857142857</v>
      </c>
      <c r="Z57" s="263">
        <f t="shared" si="9"/>
        <v>5.93607142857143</v>
      </c>
      <c r="AA57" s="263">
        <f t="shared" si="9"/>
        <v>9.899999999999997</v>
      </c>
      <c r="AB57" s="263">
        <f t="shared" si="9"/>
        <v>7.151428571428572</v>
      </c>
      <c r="AC57" s="263">
        <f t="shared" si="9"/>
        <v>6.795714285714285</v>
      </c>
    </row>
    <row r="58" spans="2:27" ht="12.75">
      <c r="B58" s="200"/>
      <c r="C58" s="200"/>
      <c r="D58" s="241"/>
      <c r="E58" s="1"/>
      <c r="F58" s="201"/>
      <c r="G58" s="1"/>
      <c r="H58" s="76"/>
      <c r="I58" s="1"/>
      <c r="J58" s="1"/>
      <c r="K58" s="1"/>
      <c r="L58" s="1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</row>
    <row r="59" spans="4:30" ht="12.75">
      <c r="D59" s="200"/>
      <c r="J59" s="1"/>
      <c r="K59" s="1"/>
      <c r="L59" s="1"/>
      <c r="M59" s="127"/>
      <c r="N59" s="127"/>
      <c r="O59" s="127"/>
      <c r="P59" s="127"/>
      <c r="Q59" s="127"/>
      <c r="R59" s="138"/>
      <c r="S59" s="127"/>
      <c r="T59" s="261"/>
      <c r="U59" s="261"/>
      <c r="V59" s="261"/>
      <c r="W59" s="261"/>
      <c r="X59" s="1"/>
      <c r="Y59" s="138"/>
      <c r="Z59" s="138"/>
      <c r="AA59" s="138"/>
      <c r="AB59" s="138"/>
      <c r="AC59" s="138"/>
      <c r="AD59" s="1"/>
    </row>
    <row r="60" spans="10:30" ht="12.75">
      <c r="J60" s="513"/>
      <c r="K60" s="513"/>
      <c r="L60" s="513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"/>
      <c r="Y60" s="1"/>
      <c r="Z60" s="1"/>
      <c r="AA60" s="1"/>
      <c r="AB60" s="1"/>
      <c r="AC60" s="1"/>
      <c r="AD60" s="1"/>
    </row>
    <row r="61" spans="10:30" ht="12.75">
      <c r="J61" s="513"/>
      <c r="K61" s="513"/>
      <c r="L61" s="513"/>
      <c r="M61" s="120"/>
      <c r="N61" s="120"/>
      <c r="O61" s="120"/>
      <c r="P61" s="120"/>
      <c r="Q61" s="120"/>
      <c r="R61" s="120"/>
      <c r="S61" s="120"/>
      <c r="T61" s="85"/>
      <c r="U61" s="120"/>
      <c r="V61" s="85"/>
      <c r="W61" s="120"/>
      <c r="X61" s="1"/>
      <c r="Y61" s="1"/>
      <c r="Z61" s="1"/>
      <c r="AA61" s="1"/>
      <c r="AB61" s="1"/>
      <c r="AC61" s="1"/>
      <c r="AD61" s="1"/>
    </row>
    <row r="62" spans="10:30" ht="12.75">
      <c r="J62" s="513"/>
      <c r="K62" s="513"/>
      <c r="L62" s="513"/>
      <c r="M62" s="120"/>
      <c r="N62" s="120"/>
      <c r="O62" s="120"/>
      <c r="P62" s="120"/>
      <c r="Q62" s="120"/>
      <c r="R62" s="120"/>
      <c r="S62" s="120"/>
      <c r="T62" s="85"/>
      <c r="U62" s="120"/>
      <c r="V62" s="85"/>
      <c r="W62" s="120"/>
      <c r="X62" s="1"/>
      <c r="Y62" s="1"/>
      <c r="Z62" s="1"/>
      <c r="AA62" s="1"/>
      <c r="AB62" s="1"/>
      <c r="AC62" s="1"/>
      <c r="AD62" s="1"/>
    </row>
    <row r="63" spans="10:30" ht="12.75">
      <c r="J63" s="513"/>
      <c r="K63" s="513"/>
      <c r="L63" s="513"/>
      <c r="M63" s="120"/>
      <c r="N63" s="120"/>
      <c r="O63" s="120"/>
      <c r="P63" s="120"/>
      <c r="Q63" s="120"/>
      <c r="R63" s="120"/>
      <c r="S63" s="120"/>
      <c r="T63" s="85"/>
      <c r="U63" s="120"/>
      <c r="V63" s="85"/>
      <c r="W63" s="120"/>
      <c r="X63" s="1"/>
      <c r="Y63" s="1"/>
      <c r="Z63" s="1"/>
      <c r="AA63" s="1"/>
      <c r="AB63" s="1"/>
      <c r="AC63" s="1"/>
      <c r="AD63" s="1"/>
    </row>
    <row r="64" spans="10:26" ht="12.75">
      <c r="J64" s="1"/>
      <c r="K64" s="1"/>
      <c r="L64" s="1"/>
      <c r="M64" s="262"/>
      <c r="N64" s="262"/>
      <c r="O64" s="262"/>
      <c r="P64" s="262"/>
      <c r="Q64" s="262"/>
      <c r="R64" s="120"/>
      <c r="S64" s="262"/>
      <c r="T64" s="262"/>
      <c r="U64" s="262"/>
      <c r="V64" s="262"/>
      <c r="W64" s="262"/>
      <c r="X64" s="1"/>
      <c r="Y64" s="261"/>
      <c r="Z64" s="1"/>
    </row>
    <row r="65" spans="10:26" ht="12.75">
      <c r="J65" s="513"/>
      <c r="K65" s="513"/>
      <c r="L65" s="513"/>
      <c r="M65" s="85"/>
      <c r="N65" s="85"/>
      <c r="O65" s="120"/>
      <c r="P65" s="85"/>
      <c r="Q65" s="85"/>
      <c r="R65" s="120"/>
      <c r="S65" s="85"/>
      <c r="T65" s="85"/>
      <c r="U65" s="120"/>
      <c r="V65" s="85"/>
      <c r="W65" s="85"/>
      <c r="X65" s="120"/>
      <c r="Y65" s="85"/>
      <c r="Z65" s="1"/>
    </row>
    <row r="66" spans="10:26" ht="12.75">
      <c r="J66" s="513"/>
      <c r="K66" s="513"/>
      <c r="L66" s="513"/>
      <c r="M66" s="85"/>
      <c r="N66" s="85"/>
      <c r="O66" s="120"/>
      <c r="P66" s="85"/>
      <c r="Q66" s="85"/>
      <c r="R66" s="120"/>
      <c r="S66" s="85"/>
      <c r="T66" s="85"/>
      <c r="U66" s="120"/>
      <c r="V66" s="85"/>
      <c r="W66" s="85"/>
      <c r="X66" s="120"/>
      <c r="Y66" s="120"/>
      <c r="Z66" s="1"/>
    </row>
    <row r="67" spans="10:26" ht="12.75">
      <c r="J67" s="513"/>
      <c r="K67" s="513"/>
      <c r="L67" s="513"/>
      <c r="M67" s="85"/>
      <c r="N67" s="85"/>
      <c r="O67" s="120"/>
      <c r="P67" s="85"/>
      <c r="Q67" s="85"/>
      <c r="R67" s="120"/>
      <c r="S67" s="85"/>
      <c r="T67" s="85"/>
      <c r="U67" s="120"/>
      <c r="V67" s="85"/>
      <c r="W67" s="85"/>
      <c r="X67" s="120"/>
      <c r="Y67" s="120"/>
      <c r="Z67" s="1"/>
    </row>
    <row r="68" spans="10:26" ht="12.75">
      <c r="J68" s="513"/>
      <c r="K68" s="513"/>
      <c r="L68" s="513"/>
      <c r="M68" s="85"/>
      <c r="N68" s="85"/>
      <c r="O68" s="120"/>
      <c r="P68" s="85"/>
      <c r="Q68" s="85"/>
      <c r="R68" s="120"/>
      <c r="S68" s="120"/>
      <c r="T68" s="120"/>
      <c r="U68" s="120"/>
      <c r="V68" s="85"/>
      <c r="W68" s="85"/>
      <c r="X68" s="120"/>
      <c r="Y68" s="120"/>
      <c r="Z68" s="1"/>
    </row>
    <row r="69" spans="10:26" ht="12.7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autoFilter ref="A1:AK36"/>
  <mergeCells count="14">
    <mergeCell ref="J67:L67"/>
    <mergeCell ref="J68:L68"/>
    <mergeCell ref="B42:B44"/>
    <mergeCell ref="B39:B41"/>
    <mergeCell ref="B48:B50"/>
    <mergeCell ref="B51:B53"/>
    <mergeCell ref="J65:L65"/>
    <mergeCell ref="J66:L66"/>
    <mergeCell ref="J60:L60"/>
    <mergeCell ref="J61:L61"/>
    <mergeCell ref="J62:L62"/>
    <mergeCell ref="J63:L63"/>
    <mergeCell ref="B54:B56"/>
    <mergeCell ref="B45:B47"/>
  </mergeCells>
  <conditionalFormatting sqref="L2:L36">
    <cfRule type="cellIs" priority="1" dxfId="7" operator="lessThanOrEqual" stopIfTrue="1">
      <formula>0.65</formula>
    </cfRule>
  </conditionalFormatting>
  <hyperlinks>
    <hyperlink ref="E38" r:id="rId1" display="http://www.5manager.com/ClubHouse.php?page=equipe_effectif.php&amp;name=2b733ae502f6f2d0034e71642f4b6f73"/>
    <hyperlink ref="F38" r:id="rId2" display="http://www.5manager.com/ClubHouse.php?page=equipe_effectif.php&amp;name=2b733ae502f6f2d0034e71642f4b6f73"/>
    <hyperlink ref="L38" r:id="rId3" display="http://www.5manager.com/ClubHouse.php?page=equipe_effectif.php&amp;name=2b733ae502f6f2d0034e71642f4b6f73"/>
    <hyperlink ref="M38" r:id="rId4" display="http://www.5manager.com/ClubHouse.php?page=equipe_effectif.php&amp;name=2b733ae502f6f2d0034e71642f4b6f73"/>
    <hyperlink ref="N38" r:id="rId5" display="http://www.5manager.com/ClubHouse.php?page=equipe_effectif.php&amp;name=2b733ae502f6f2d0034e71642f4b6f73"/>
    <hyperlink ref="O38" r:id="rId6" display="http://www.5manager.com/ClubHouse.php?page=equipe_effectif.php&amp;name=2b733ae502f6f2d0034e71642f4b6f73"/>
    <hyperlink ref="P38" r:id="rId7" display="http://www.5manager.com/ClubHouse.php?page=equipe_effectif.php&amp;name=2b733ae502f6f2d0034e71642f4b6f73"/>
    <hyperlink ref="Q38" r:id="rId8" display="http://www.5manager.com/ClubHouse.php?page=equipe_effectif.php&amp;name=2b733ae502f6f2d0034e71642f4b6f73"/>
    <hyperlink ref="R38" r:id="rId9" display="http://www.5manager.com/ClubHouse.php?page=equipe_effectif.php&amp;name=2b733ae502f6f2d0034e71642f4b6f73"/>
    <hyperlink ref="S38" r:id="rId10" display="http://www.5manager.com/ClubHouse.php?page=equipe_effectif.php&amp;name=2b733ae502f6f2d0034e71642f4b6f73"/>
    <hyperlink ref="T38" r:id="rId11" display="http://www.5manager.com/ClubHouse.php?page=equipe_effectif.php&amp;name=2b733ae502f6f2d0034e71642f4b6f73"/>
    <hyperlink ref="U38" r:id="rId12" display="http://www.5manager.com/ClubHouse.php?page=equipe_effectif.php&amp;name=2b733ae502f6f2d0034e71642f4b6f73"/>
    <hyperlink ref="V38" r:id="rId13" display="http://www.5manager.com/ClubHouse.php?page=equipe_effectif.php&amp;name=2b733ae502f6f2d0034e71642f4b6f73"/>
    <hyperlink ref="W38" r:id="rId14" display="http://www.5manager.com/ClubHouse.php?page=equipe_effectif.php&amp;name=2b733ae502f6f2d0034e71642f4b6f73"/>
    <hyperlink ref="X38" r:id="rId15" display="http://www.5manager.com/ClubHouse.php?page=equipe_effectif.php&amp;name=2b733ae502f6f2d0034e71642f4b6f73"/>
    <hyperlink ref="Y38" r:id="rId16" display="http://www.5manager.com/ClubHouse.php?page=equipe_effectif.php&amp;name=2b733ae502f6f2d0034e71642f4b6f73"/>
    <hyperlink ref="Z38" r:id="rId17" display="http://www.5manager.com/ClubHouse.php?page=equipe_effectif.php&amp;name=2b733ae502f6f2d0034e71642f4b6f73"/>
    <hyperlink ref="AA38" r:id="rId18" display="http://www.5manager.com/ClubHouse.php?page=equipe_effectif.php&amp;name=2b733ae502f6f2d0034e71642f4b6f73"/>
    <hyperlink ref="L1" r:id="rId19" display="http://www.handmanager.com/ClubHouse.php?page=equipe_effectif.php&amp;name=09901c3b2379d481b29cff4dbf23f512"/>
    <hyperlink ref="M1" r:id="rId20" display="http://www.handmanager.com/ClubHouse.php?page=equipe_effectif.php&amp;name=09901c3b2379d481b29cff4dbf23f512"/>
    <hyperlink ref="N1" r:id="rId21" display="http://www.handmanager.com/ClubHouse.php?page=equipe_effectif.php&amp;name=09901c3b2379d481b29cff4dbf23f512"/>
    <hyperlink ref="O1" r:id="rId22" display="http://www.handmanager.com/ClubHouse.php?page=equipe_effectif.php&amp;name=09901c3b2379d481b29cff4dbf23f512"/>
    <hyperlink ref="P1" r:id="rId23" display="http://www.handmanager.com/ClubHouse.php?page=equipe_effectif.php&amp;name=09901c3b2379d481b29cff4dbf23f512"/>
    <hyperlink ref="Q1" r:id="rId24" display="http://www.handmanager.com/ClubHouse.php?page=equipe_effectif.php&amp;name=09901c3b2379d481b29cff4dbf23f512"/>
    <hyperlink ref="R1" r:id="rId25" display="http://www.handmanager.com/ClubHouse.php?page=equipe_effectif.php&amp;name=09901c3b2379d481b29cff4dbf23f512"/>
    <hyperlink ref="S1" r:id="rId26" display="http://www.handmanager.com/ClubHouse.php?page=equipe_effectif.php&amp;name=09901c3b2379d481b29cff4dbf23f512"/>
    <hyperlink ref="T1" r:id="rId27" display="http://www.handmanager.com/ClubHouse.php?page=equipe_effectif.php&amp;name=09901c3b2379d481b29cff4dbf23f512"/>
    <hyperlink ref="U1" r:id="rId28" display="http://www.handmanager.com/ClubHouse.php?page=equipe_effectif.php&amp;name=09901c3b2379d481b29cff4dbf23f512"/>
    <hyperlink ref="V1" r:id="rId29" display="http://www.handmanager.com/ClubHouse.php?page=equipe_effectif.php&amp;name=09901c3b2379d481b29cff4dbf23f512"/>
    <hyperlink ref="W1" r:id="rId30" display="http://www.handmanager.com/ClubHouse.php?page=equipe_effectif.php&amp;name=09901c3b2379d481b29cff4dbf23f512"/>
    <hyperlink ref="X1" r:id="rId31" display="http://www.handmanager.com/ClubHouse.php?page=equipe_effectif.php&amp;name=09901c3b2379d481b29cff4dbf23f512"/>
    <hyperlink ref="Y1" r:id="rId32" display="http://www.handmanager.com/ClubHouse.php?page=equipe_effectif.php&amp;name=09901c3b2379d481b29cff4dbf23f512"/>
    <hyperlink ref="Z1" r:id="rId33" display="http://www.handmanager.com/ClubHouse.php?page=equipe_effectif.php&amp;name=09901c3b2379d481b29cff4dbf23f512"/>
    <hyperlink ref="AA1" r:id="rId34" display="http://www.handmanager.com/ClubHouse.php?page=equipe_effectif.php&amp;name=09901c3b2379d481b29cff4dbf23f512"/>
    <hyperlink ref="AB1" r:id="rId35" display="http://www.handmanager.com/ClubHouse.php?page=equipe_effectif.php&amp;name=09901c3b2379d481b29cff4dbf23f512"/>
    <hyperlink ref="AC1" r:id="rId36" display="http://www.handmanager.com/ClubHouse.php?page=equipe_effectif.php&amp;name=09901c3b2379d481b29cff4dbf23f512"/>
  </hyperlinks>
  <printOptions/>
  <pageMargins left="0.787401575" right="0.787401575" top="0.984251969" bottom="0.984251969" header="0.4921259845" footer="0.4921259845"/>
  <pageSetup horizontalDpi="600" verticalDpi="600" orientation="portrait" paperSize="9" r:id="rId39"/>
  <legacyDrawing r:id="rId38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AO91"/>
  <sheetViews>
    <sheetView tabSelected="1" zoomScalePageLayoutView="0" workbookViewId="0" topLeftCell="A1">
      <selection activeCell="U13" sqref="U13"/>
    </sheetView>
  </sheetViews>
  <sheetFormatPr defaultColWidth="11.421875" defaultRowHeight="12.75"/>
  <cols>
    <col min="1" max="1" width="15.7109375" style="0" customWidth="1"/>
    <col min="2" max="2" width="6.140625" style="0" bestFit="1" customWidth="1"/>
    <col min="3" max="4" width="4.28125" style="0" bestFit="1" customWidth="1"/>
    <col min="5" max="5" width="3.28125" style="0" bestFit="1" customWidth="1"/>
    <col min="6" max="6" width="3.7109375" style="0" bestFit="1" customWidth="1"/>
    <col min="7" max="7" width="4.00390625" style="0" bestFit="1" customWidth="1"/>
    <col min="8" max="8" width="3.28125" style="0" bestFit="1" customWidth="1"/>
    <col min="9" max="10" width="4.00390625" style="0" bestFit="1" customWidth="1"/>
    <col min="11" max="11" width="3.57421875" style="0" bestFit="1" customWidth="1"/>
    <col min="12" max="13" width="4.28125" style="0" bestFit="1" customWidth="1"/>
    <col min="14" max="14" width="3.7109375" style="0" bestFit="1" customWidth="1"/>
    <col min="15" max="15" width="4.28125" style="0" bestFit="1" customWidth="1"/>
    <col min="16" max="16" width="4.57421875" style="0" bestFit="1" customWidth="1"/>
    <col min="17" max="19" width="0.85546875" style="0" customWidth="1"/>
    <col min="25" max="41" width="4.7109375" style="0" customWidth="1"/>
  </cols>
  <sheetData>
    <row r="1" spans="2:41" ht="38.25">
      <c r="B1" s="7"/>
      <c r="C1" s="7" t="s">
        <v>55</v>
      </c>
      <c r="D1" s="7" t="s">
        <v>35</v>
      </c>
      <c r="E1" s="7" t="s">
        <v>56</v>
      </c>
      <c r="F1" s="7" t="s">
        <v>169</v>
      </c>
      <c r="G1" s="7" t="s">
        <v>29</v>
      </c>
      <c r="H1" s="7" t="s">
        <v>170</v>
      </c>
      <c r="I1" s="7" t="s">
        <v>177</v>
      </c>
      <c r="J1" s="7" t="s">
        <v>178</v>
      </c>
      <c r="K1" s="7" t="s">
        <v>60</v>
      </c>
      <c r="L1" s="7" t="s">
        <v>34</v>
      </c>
      <c r="M1" s="7" t="s">
        <v>61</v>
      </c>
      <c r="N1" s="7" t="s">
        <v>30</v>
      </c>
      <c r="O1" s="7" t="s">
        <v>179</v>
      </c>
      <c r="P1" s="7" t="s">
        <v>182</v>
      </c>
      <c r="Q1" s="7" t="s">
        <v>71</v>
      </c>
      <c r="R1" s="7" t="s">
        <v>180</v>
      </c>
      <c r="S1" s="7" t="s">
        <v>181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2:20" ht="12.75">
      <c r="B2" s="7" t="s">
        <v>243</v>
      </c>
      <c r="C2" s="4">
        <v>0</v>
      </c>
      <c r="D2" s="4">
        <v>3</v>
      </c>
      <c r="E2" s="4">
        <v>4</v>
      </c>
      <c r="F2" s="4">
        <v>4</v>
      </c>
      <c r="G2" s="4">
        <v>6</v>
      </c>
      <c r="H2" s="4">
        <v>0</v>
      </c>
      <c r="I2" s="4">
        <v>0</v>
      </c>
      <c r="J2" s="4">
        <v>0</v>
      </c>
      <c r="K2" s="4">
        <v>0</v>
      </c>
      <c r="L2" s="4">
        <v>8</v>
      </c>
      <c r="M2" s="4">
        <v>0</v>
      </c>
      <c r="N2" s="4">
        <v>14</v>
      </c>
      <c r="O2" s="4">
        <v>7</v>
      </c>
      <c r="P2" s="4">
        <v>7</v>
      </c>
      <c r="Q2" s="4">
        <v>17</v>
      </c>
      <c r="R2" s="4">
        <v>17</v>
      </c>
      <c r="S2" s="4">
        <v>13</v>
      </c>
      <c r="T2">
        <f>SUM(C2:S2)</f>
        <v>100</v>
      </c>
    </row>
    <row r="3" spans="2:20" ht="12.75">
      <c r="B3" s="7" t="s">
        <v>244</v>
      </c>
      <c r="C3" s="4">
        <v>2</v>
      </c>
      <c r="D3" s="4">
        <v>5</v>
      </c>
      <c r="E3" s="4">
        <v>2</v>
      </c>
      <c r="F3" s="4">
        <v>3</v>
      </c>
      <c r="G3" s="4">
        <v>9</v>
      </c>
      <c r="H3" s="4">
        <v>3</v>
      </c>
      <c r="I3" s="4">
        <v>7</v>
      </c>
      <c r="J3" s="4">
        <v>14</v>
      </c>
      <c r="K3" s="4">
        <v>5</v>
      </c>
      <c r="L3" s="4">
        <v>9</v>
      </c>
      <c r="M3" s="4">
        <v>14</v>
      </c>
      <c r="N3" s="4">
        <v>12</v>
      </c>
      <c r="O3" s="4">
        <v>5</v>
      </c>
      <c r="P3" s="4">
        <v>9</v>
      </c>
      <c r="Q3" s="4">
        <v>0</v>
      </c>
      <c r="R3" s="4">
        <v>0</v>
      </c>
      <c r="S3" s="4">
        <v>0</v>
      </c>
      <c r="T3">
        <f>SUM(C3:S3)</f>
        <v>99</v>
      </c>
    </row>
    <row r="4" spans="2:20" ht="12.75">
      <c r="B4" s="101" t="s">
        <v>245</v>
      </c>
      <c r="C4" s="4">
        <v>3</v>
      </c>
      <c r="D4" s="4">
        <v>5</v>
      </c>
      <c r="E4" s="4">
        <v>3</v>
      </c>
      <c r="F4" s="4">
        <v>7</v>
      </c>
      <c r="G4" s="4">
        <v>3</v>
      </c>
      <c r="H4" s="4">
        <v>5</v>
      </c>
      <c r="I4" s="4">
        <v>8</v>
      </c>
      <c r="J4" s="4">
        <v>10</v>
      </c>
      <c r="K4" s="4">
        <v>7</v>
      </c>
      <c r="L4" s="4">
        <v>15</v>
      </c>
      <c r="M4" s="4">
        <v>10</v>
      </c>
      <c r="N4" s="4">
        <v>13</v>
      </c>
      <c r="O4" s="4">
        <v>3</v>
      </c>
      <c r="P4" s="4">
        <v>7</v>
      </c>
      <c r="Q4" s="4">
        <v>0</v>
      </c>
      <c r="R4" s="4">
        <v>0</v>
      </c>
      <c r="S4" s="4">
        <v>0</v>
      </c>
      <c r="T4">
        <f>SUM(C4:S4)</f>
        <v>99</v>
      </c>
    </row>
    <row r="5" spans="2:20" ht="12.75">
      <c r="B5" s="101" t="s">
        <v>246</v>
      </c>
      <c r="C5" s="4">
        <v>3</v>
      </c>
      <c r="D5" s="4">
        <v>5</v>
      </c>
      <c r="E5" s="4">
        <v>5</v>
      </c>
      <c r="F5" s="4">
        <v>5</v>
      </c>
      <c r="G5" s="4">
        <v>4</v>
      </c>
      <c r="H5" s="4">
        <v>5</v>
      </c>
      <c r="I5" s="4">
        <v>16</v>
      </c>
      <c r="J5" s="4">
        <v>8</v>
      </c>
      <c r="K5" s="4">
        <v>5</v>
      </c>
      <c r="L5" s="4">
        <v>8</v>
      </c>
      <c r="M5" s="4">
        <v>11</v>
      </c>
      <c r="N5" s="4">
        <v>14</v>
      </c>
      <c r="O5" s="4">
        <v>5</v>
      </c>
      <c r="P5" s="4">
        <v>5</v>
      </c>
      <c r="Q5" s="4">
        <v>0</v>
      </c>
      <c r="R5" s="4">
        <v>0</v>
      </c>
      <c r="S5" s="4">
        <v>0</v>
      </c>
      <c r="T5">
        <f>SUM(C5:S5)</f>
        <v>99</v>
      </c>
    </row>
    <row r="6" spans="2:20" ht="12.75">
      <c r="B6" s="101" t="s">
        <v>247</v>
      </c>
      <c r="C6" s="4">
        <v>5</v>
      </c>
      <c r="D6" s="4">
        <v>3</v>
      </c>
      <c r="E6" s="4">
        <v>5</v>
      </c>
      <c r="F6" s="4">
        <v>3</v>
      </c>
      <c r="G6" s="4">
        <v>7</v>
      </c>
      <c r="H6" s="4">
        <v>10</v>
      </c>
      <c r="I6" s="4">
        <v>10</v>
      </c>
      <c r="J6" s="4">
        <v>8</v>
      </c>
      <c r="K6" s="4">
        <v>7</v>
      </c>
      <c r="L6" s="4">
        <v>10</v>
      </c>
      <c r="M6" s="4">
        <v>10</v>
      </c>
      <c r="N6" s="4">
        <v>14</v>
      </c>
      <c r="O6" s="4">
        <v>3</v>
      </c>
      <c r="P6" s="4">
        <v>3</v>
      </c>
      <c r="Q6" s="4">
        <v>0</v>
      </c>
      <c r="R6" s="4">
        <v>0</v>
      </c>
      <c r="S6" s="4">
        <v>0</v>
      </c>
      <c r="T6">
        <f>SUM(C6:S6)</f>
        <v>98</v>
      </c>
    </row>
    <row r="9" spans="2:17" ht="12.75">
      <c r="B9" s="88" t="s">
        <v>248</v>
      </c>
      <c r="C9" s="523" t="s">
        <v>249</v>
      </c>
      <c r="D9" s="523"/>
      <c r="E9" s="523"/>
      <c r="F9" s="88" t="s">
        <v>250</v>
      </c>
      <c r="G9" s="88" t="s">
        <v>55</v>
      </c>
      <c r="H9" s="88" t="s">
        <v>35</v>
      </c>
      <c r="I9" s="88" t="s">
        <v>56</v>
      </c>
      <c r="J9" s="88" t="s">
        <v>169</v>
      </c>
      <c r="K9" s="88" t="s">
        <v>29</v>
      </c>
      <c r="L9" s="88" t="s">
        <v>170</v>
      </c>
      <c r="M9" s="88" t="s">
        <v>61</v>
      </c>
      <c r="N9" s="88" t="s">
        <v>179</v>
      </c>
      <c r="Q9" s="216" t="s">
        <v>251</v>
      </c>
    </row>
    <row r="10" spans="2:20" ht="12.75">
      <c r="B10" s="292" t="s">
        <v>252</v>
      </c>
      <c r="C10" s="524" t="s">
        <v>253</v>
      </c>
      <c r="D10" s="525"/>
      <c r="E10" s="526"/>
      <c r="F10" s="461">
        <v>6</v>
      </c>
      <c r="G10" s="461">
        <v>5</v>
      </c>
      <c r="H10" s="461"/>
      <c r="I10" s="461"/>
      <c r="J10" s="461">
        <v>2.5</v>
      </c>
      <c r="K10" s="461">
        <v>5</v>
      </c>
      <c r="L10" s="461"/>
      <c r="M10" s="461">
        <v>2.5</v>
      </c>
      <c r="N10" s="462"/>
      <c r="O10">
        <f aca="true" t="shared" si="0" ref="O10:O17">SUM(G10:N10)</f>
        <v>15</v>
      </c>
      <c r="P10" s="293">
        <f>O10*F10</f>
        <v>90</v>
      </c>
      <c r="Q10" s="590" t="s">
        <v>254</v>
      </c>
      <c r="R10" s="590"/>
      <c r="S10" s="590"/>
      <c r="T10" s="590"/>
    </row>
    <row r="11" spans="2:20" ht="12.75">
      <c r="B11" s="545" t="s">
        <v>254</v>
      </c>
      <c r="C11" s="527" t="s">
        <v>255</v>
      </c>
      <c r="D11" s="528"/>
      <c r="E11" s="529"/>
      <c r="F11" s="463">
        <v>5</v>
      </c>
      <c r="G11" s="463">
        <v>2.5</v>
      </c>
      <c r="H11" s="463">
        <v>2.5</v>
      </c>
      <c r="I11" s="463"/>
      <c r="J11" s="463">
        <v>2.5</v>
      </c>
      <c r="K11" s="463">
        <v>2.5</v>
      </c>
      <c r="L11" s="463"/>
      <c r="M11" s="463">
        <v>2.5</v>
      </c>
      <c r="N11" s="464"/>
      <c r="O11">
        <f t="shared" si="0"/>
        <v>12.5</v>
      </c>
      <c r="P11" s="450">
        <f>F11*O11+F12*O12</f>
        <v>77.5</v>
      </c>
      <c r="Q11" s="589" t="s">
        <v>254</v>
      </c>
      <c r="R11" s="589"/>
      <c r="S11" s="589"/>
      <c r="T11" s="589"/>
    </row>
    <row r="12" spans="2:20" ht="12.75">
      <c r="B12" s="546"/>
      <c r="C12" s="530" t="s">
        <v>256</v>
      </c>
      <c r="D12" s="531"/>
      <c r="E12" s="532"/>
      <c r="F12" s="465">
        <v>1</v>
      </c>
      <c r="G12" s="465"/>
      <c r="H12" s="465">
        <v>2.5</v>
      </c>
      <c r="I12" s="465">
        <v>2.5</v>
      </c>
      <c r="J12" s="465">
        <v>2.5</v>
      </c>
      <c r="K12" s="465">
        <v>2.5</v>
      </c>
      <c r="L12" s="465">
        <v>2.5</v>
      </c>
      <c r="M12" s="465"/>
      <c r="N12" s="466">
        <v>2.5</v>
      </c>
      <c r="O12">
        <f t="shared" si="0"/>
        <v>15</v>
      </c>
      <c r="P12" s="451"/>
      <c r="Q12" s="589"/>
      <c r="R12" s="589"/>
      <c r="S12" s="589"/>
      <c r="T12" s="589"/>
    </row>
    <row r="13" spans="2:20" ht="12.75">
      <c r="B13" s="547" t="s">
        <v>257</v>
      </c>
      <c r="C13" s="533" t="s">
        <v>258</v>
      </c>
      <c r="D13" s="534"/>
      <c r="E13" s="535"/>
      <c r="F13" s="467">
        <v>4</v>
      </c>
      <c r="G13" s="467">
        <v>2.5</v>
      </c>
      <c r="H13" s="467">
        <v>2.5</v>
      </c>
      <c r="I13" s="467"/>
      <c r="J13" s="467">
        <v>2.5</v>
      </c>
      <c r="K13" s="467">
        <v>5</v>
      </c>
      <c r="L13" s="467"/>
      <c r="M13" s="467"/>
      <c r="N13" s="468"/>
      <c r="O13">
        <f t="shared" si="0"/>
        <v>12.5</v>
      </c>
      <c r="P13" s="452">
        <f>F13*O13+F14*O14</f>
        <v>80</v>
      </c>
      <c r="Q13" s="589" t="s">
        <v>254</v>
      </c>
      <c r="R13" s="589"/>
      <c r="S13" s="589"/>
      <c r="T13" s="589"/>
    </row>
    <row r="14" spans="2:20" ht="12.75">
      <c r="B14" s="548"/>
      <c r="C14" s="536" t="s">
        <v>259</v>
      </c>
      <c r="D14" s="537"/>
      <c r="E14" s="538"/>
      <c r="F14" s="469">
        <v>2</v>
      </c>
      <c r="G14" s="469"/>
      <c r="H14" s="469">
        <v>5</v>
      </c>
      <c r="I14" s="469">
        <v>2.5</v>
      </c>
      <c r="J14" s="469">
        <v>2.5</v>
      </c>
      <c r="K14" s="469"/>
      <c r="L14" s="469">
        <v>2.5</v>
      </c>
      <c r="M14" s="469"/>
      <c r="N14" s="470">
        <v>2.5</v>
      </c>
      <c r="O14">
        <f t="shared" si="0"/>
        <v>15</v>
      </c>
      <c r="P14" s="453"/>
      <c r="Q14" s="589"/>
      <c r="R14" s="589"/>
      <c r="S14" s="589"/>
      <c r="T14" s="589"/>
    </row>
    <row r="15" spans="2:20" ht="12.75">
      <c r="B15" s="542" t="s">
        <v>260</v>
      </c>
      <c r="C15" s="539" t="s">
        <v>261</v>
      </c>
      <c r="D15" s="540"/>
      <c r="E15" s="541"/>
      <c r="F15" s="471">
        <v>3</v>
      </c>
      <c r="G15" s="471"/>
      <c r="H15" s="471">
        <v>5</v>
      </c>
      <c r="I15" s="471">
        <v>5</v>
      </c>
      <c r="J15" s="471">
        <v>2.5</v>
      </c>
      <c r="K15" s="471"/>
      <c r="L15" s="471">
        <v>2.5</v>
      </c>
      <c r="M15" s="471"/>
      <c r="N15" s="472"/>
      <c r="O15">
        <f t="shared" si="0"/>
        <v>15</v>
      </c>
      <c r="P15" s="447">
        <f>F15*O15+F16*O16+F17*O17</f>
        <v>90</v>
      </c>
      <c r="Q15" s="589" t="s">
        <v>254</v>
      </c>
      <c r="R15" s="589"/>
      <c r="S15" s="589"/>
      <c r="T15" s="589"/>
    </row>
    <row r="16" spans="2:20" ht="12.75">
      <c r="B16" s="543"/>
      <c r="C16" s="549" t="s">
        <v>262</v>
      </c>
      <c r="D16" s="550"/>
      <c r="E16" s="551"/>
      <c r="F16" s="473">
        <v>2</v>
      </c>
      <c r="G16" s="473"/>
      <c r="H16" s="473">
        <v>5</v>
      </c>
      <c r="I16" s="473">
        <v>2.5</v>
      </c>
      <c r="J16" s="473">
        <v>5</v>
      </c>
      <c r="K16" s="473"/>
      <c r="L16" s="473">
        <v>2.5</v>
      </c>
      <c r="M16" s="473"/>
      <c r="N16" s="474"/>
      <c r="O16">
        <f t="shared" si="0"/>
        <v>15</v>
      </c>
      <c r="P16" s="448"/>
      <c r="Q16" s="589"/>
      <c r="R16" s="589"/>
      <c r="S16" s="589"/>
      <c r="T16" s="589"/>
    </row>
    <row r="17" spans="2:20" ht="12.75">
      <c r="B17" s="544"/>
      <c r="C17" s="552" t="s">
        <v>256</v>
      </c>
      <c r="D17" s="553"/>
      <c r="E17" s="554"/>
      <c r="F17" s="475">
        <v>1</v>
      </c>
      <c r="G17" s="475"/>
      <c r="H17" s="475">
        <v>5</v>
      </c>
      <c r="I17" s="475">
        <v>2.5</v>
      </c>
      <c r="J17" s="475">
        <v>2.5</v>
      </c>
      <c r="K17" s="475"/>
      <c r="L17" s="475">
        <v>2.5</v>
      </c>
      <c r="M17" s="475"/>
      <c r="N17" s="476">
        <v>2.5</v>
      </c>
      <c r="O17">
        <f t="shared" si="0"/>
        <v>15</v>
      </c>
      <c r="P17" s="449"/>
      <c r="Q17" s="589"/>
      <c r="R17" s="589"/>
      <c r="S17" s="589"/>
      <c r="T17" s="589"/>
    </row>
    <row r="21" ht="13.5" thickBot="1"/>
    <row r="22" spans="1:20" ht="13.5" thickBot="1">
      <c r="A22" s="569" t="s">
        <v>397</v>
      </c>
      <c r="B22" s="570"/>
      <c r="C22" s="586" t="s">
        <v>55</v>
      </c>
      <c r="D22" s="586" t="s">
        <v>35</v>
      </c>
      <c r="E22" s="586" t="s">
        <v>56</v>
      </c>
      <c r="F22" s="586" t="s">
        <v>169</v>
      </c>
      <c r="G22" s="586" t="s">
        <v>29</v>
      </c>
      <c r="H22" s="586" t="s">
        <v>170</v>
      </c>
      <c r="I22" s="586" t="s">
        <v>177</v>
      </c>
      <c r="J22" s="586" t="s">
        <v>178</v>
      </c>
      <c r="K22" s="586" t="s">
        <v>60</v>
      </c>
      <c r="L22" s="586" t="s">
        <v>34</v>
      </c>
      <c r="M22" s="586" t="s">
        <v>61</v>
      </c>
      <c r="N22" s="586" t="s">
        <v>30</v>
      </c>
      <c r="O22" s="586" t="s">
        <v>179</v>
      </c>
      <c r="P22" s="586" t="s">
        <v>182</v>
      </c>
      <c r="Q22" s="585"/>
      <c r="R22" s="585"/>
      <c r="S22" s="585"/>
      <c r="T22" s="587"/>
    </row>
    <row r="23" spans="1:20" ht="12.75">
      <c r="A23" s="571" t="s">
        <v>382</v>
      </c>
      <c r="B23" s="11">
        <v>55.06</v>
      </c>
      <c r="C23" s="245">
        <v>79.85</v>
      </c>
      <c r="D23" s="245">
        <v>90.38</v>
      </c>
      <c r="E23" s="245">
        <v>47.21</v>
      </c>
      <c r="F23" s="245">
        <v>129.3</v>
      </c>
      <c r="G23" s="245">
        <v>85.79</v>
      </c>
      <c r="H23" s="245">
        <v>49.81</v>
      </c>
      <c r="I23" s="245">
        <v>1.38</v>
      </c>
      <c r="J23" s="245">
        <v>47.83</v>
      </c>
      <c r="K23" s="245">
        <v>54.72</v>
      </c>
      <c r="L23" s="245">
        <v>61.51</v>
      </c>
      <c r="M23" s="245">
        <v>49.25</v>
      </c>
      <c r="N23" s="245">
        <v>53.42</v>
      </c>
      <c r="O23" s="245">
        <v>27.28</v>
      </c>
      <c r="P23" s="245">
        <v>50.45</v>
      </c>
      <c r="Q23" s="291"/>
      <c r="R23" s="291"/>
      <c r="S23" s="291"/>
      <c r="T23" s="572">
        <f>(C23*$C$3+D23*$D$3+E23*$E$3+F23*$F$3+G23*$G$3+H23*$H$3+I23*$I$3+J23*$J$3+K23*$K$3+L23*$L$3+M23*$M$3+N23*$N$3+O23*$O$3+P23*$P$3)/100</f>
        <v>54.4292</v>
      </c>
    </row>
    <row r="24" spans="1:20" ht="12.75">
      <c r="A24" s="573"/>
      <c r="B24" s="1"/>
      <c r="C24" s="499">
        <f>$B23*C$3/10</f>
        <v>11.012</v>
      </c>
      <c r="D24" s="499">
        <f aca="true" t="shared" si="1" ref="D24:P24">$B23*D$3/10</f>
        <v>27.53</v>
      </c>
      <c r="E24" s="499">
        <f t="shared" si="1"/>
        <v>11.012</v>
      </c>
      <c r="F24" s="499">
        <f t="shared" si="1"/>
        <v>16.518</v>
      </c>
      <c r="G24" s="499">
        <f t="shared" si="1"/>
        <v>49.554</v>
      </c>
      <c r="H24" s="499">
        <f t="shared" si="1"/>
        <v>16.518</v>
      </c>
      <c r="I24" s="499">
        <f t="shared" si="1"/>
        <v>38.542</v>
      </c>
      <c r="J24" s="499">
        <f t="shared" si="1"/>
        <v>77.084</v>
      </c>
      <c r="K24" s="499">
        <f t="shared" si="1"/>
        <v>27.53</v>
      </c>
      <c r="L24" s="499">
        <f t="shared" si="1"/>
        <v>49.554</v>
      </c>
      <c r="M24" s="499">
        <f t="shared" si="1"/>
        <v>77.084</v>
      </c>
      <c r="N24" s="499">
        <f t="shared" si="1"/>
        <v>66.072</v>
      </c>
      <c r="O24" s="499">
        <f t="shared" si="1"/>
        <v>27.53</v>
      </c>
      <c r="P24" s="499">
        <f t="shared" si="1"/>
        <v>49.554</v>
      </c>
      <c r="Q24" s="1"/>
      <c r="R24" s="1"/>
      <c r="S24" s="1"/>
      <c r="T24" s="574"/>
    </row>
    <row r="25" spans="1:20" ht="12.75">
      <c r="A25" s="573"/>
      <c r="B25" s="1"/>
      <c r="C25" s="245">
        <f aca="true" t="shared" si="2" ref="C25:P25">C23-C24</f>
        <v>68.838</v>
      </c>
      <c r="D25" s="245">
        <f t="shared" si="2"/>
        <v>62.849999999999994</v>
      </c>
      <c r="E25" s="245">
        <f t="shared" si="2"/>
        <v>36.198</v>
      </c>
      <c r="F25" s="245">
        <f t="shared" si="2"/>
        <v>112.78200000000001</v>
      </c>
      <c r="G25" s="245">
        <f t="shared" si="2"/>
        <v>36.236000000000004</v>
      </c>
      <c r="H25" s="245">
        <f t="shared" si="2"/>
        <v>33.292</v>
      </c>
      <c r="I25" s="245">
        <f t="shared" si="2"/>
        <v>-37.162</v>
      </c>
      <c r="J25" s="245">
        <f t="shared" si="2"/>
        <v>-29.254000000000005</v>
      </c>
      <c r="K25" s="245">
        <f t="shared" si="2"/>
        <v>27.189999999999998</v>
      </c>
      <c r="L25" s="245">
        <f t="shared" si="2"/>
        <v>11.955999999999996</v>
      </c>
      <c r="M25" s="245">
        <f t="shared" si="2"/>
        <v>-27.834000000000003</v>
      </c>
      <c r="N25" s="245">
        <f t="shared" si="2"/>
        <v>-12.652000000000001</v>
      </c>
      <c r="O25" s="245">
        <f t="shared" si="2"/>
        <v>-0.25</v>
      </c>
      <c r="P25" s="245">
        <f t="shared" si="2"/>
        <v>0.8960000000000008</v>
      </c>
      <c r="Q25" s="1"/>
      <c r="R25" s="1"/>
      <c r="S25" s="1"/>
      <c r="T25" s="574"/>
    </row>
    <row r="26" spans="1:20" ht="12.75">
      <c r="A26" s="571" t="s">
        <v>283</v>
      </c>
      <c r="B26" s="11">
        <v>38.43</v>
      </c>
      <c r="C26" s="245">
        <v>80.27</v>
      </c>
      <c r="D26" s="245">
        <v>91.54</v>
      </c>
      <c r="E26" s="245">
        <v>26.96</v>
      </c>
      <c r="F26" s="245">
        <v>143.63</v>
      </c>
      <c r="G26" s="245">
        <v>115.64</v>
      </c>
      <c r="H26" s="245">
        <v>11.66</v>
      </c>
      <c r="I26" s="245">
        <v>28.95</v>
      </c>
      <c r="J26" s="245">
        <v>6.87</v>
      </c>
      <c r="K26" s="245">
        <v>37.15</v>
      </c>
      <c r="L26" s="245">
        <v>18.29</v>
      </c>
      <c r="M26" s="245">
        <v>48.66</v>
      </c>
      <c r="N26" s="245">
        <v>21.13</v>
      </c>
      <c r="O26" s="245">
        <v>1.1</v>
      </c>
      <c r="P26" s="245">
        <v>5.08</v>
      </c>
      <c r="Q26" s="291"/>
      <c r="R26" s="291"/>
      <c r="S26" s="291"/>
      <c r="T26" s="572">
        <f>(C26*$C$3+D26*$D$3+E26*$E$3+F26*$F$3+G26*$G$3+H26*$H$3+I26*$I$3+J26*$J$3+K26*$K$3+L26*$L$3+M26*$M$3+N26*$N$3+O26*$O$3+P26*$P$3)/100</f>
        <v>38.14</v>
      </c>
    </row>
    <row r="27" spans="1:20" ht="12.75">
      <c r="A27" s="573"/>
      <c r="B27" s="1"/>
      <c r="C27" s="499">
        <f aca="true" t="shared" si="3" ref="C27:P27">$B26*C$3/10</f>
        <v>7.686</v>
      </c>
      <c r="D27" s="499">
        <f t="shared" si="3"/>
        <v>19.215</v>
      </c>
      <c r="E27" s="499">
        <f t="shared" si="3"/>
        <v>7.686</v>
      </c>
      <c r="F27" s="499">
        <f t="shared" si="3"/>
        <v>11.529</v>
      </c>
      <c r="G27" s="499">
        <f t="shared" si="3"/>
        <v>34.587</v>
      </c>
      <c r="H27" s="499">
        <f t="shared" si="3"/>
        <v>11.529</v>
      </c>
      <c r="I27" s="499">
        <f t="shared" si="3"/>
        <v>26.901</v>
      </c>
      <c r="J27" s="499">
        <f t="shared" si="3"/>
        <v>53.802</v>
      </c>
      <c r="K27" s="499">
        <f t="shared" si="3"/>
        <v>19.215</v>
      </c>
      <c r="L27" s="499">
        <f t="shared" si="3"/>
        <v>34.587</v>
      </c>
      <c r="M27" s="499">
        <f t="shared" si="3"/>
        <v>53.802</v>
      </c>
      <c r="N27" s="499">
        <f t="shared" si="3"/>
        <v>46.116</v>
      </c>
      <c r="O27" s="499">
        <f t="shared" si="3"/>
        <v>19.215</v>
      </c>
      <c r="P27" s="499">
        <f t="shared" si="3"/>
        <v>34.587</v>
      </c>
      <c r="Q27" s="1"/>
      <c r="R27" s="1"/>
      <c r="S27" s="1"/>
      <c r="T27" s="574"/>
    </row>
    <row r="28" spans="1:20" ht="12.75">
      <c r="A28" s="573"/>
      <c r="B28" s="1"/>
      <c r="C28" s="245">
        <f>C26-C27</f>
        <v>72.584</v>
      </c>
      <c r="D28" s="245">
        <f aca="true" t="shared" si="4" ref="D28:P28">D26-D27</f>
        <v>72.325</v>
      </c>
      <c r="E28" s="245">
        <f t="shared" si="4"/>
        <v>19.274</v>
      </c>
      <c r="F28" s="245">
        <f t="shared" si="4"/>
        <v>132.101</v>
      </c>
      <c r="G28" s="245">
        <f t="shared" si="4"/>
        <v>81.053</v>
      </c>
      <c r="H28" s="245">
        <f t="shared" si="4"/>
        <v>0.13100000000000023</v>
      </c>
      <c r="I28" s="245">
        <f t="shared" si="4"/>
        <v>2.0489999999999995</v>
      </c>
      <c r="J28" s="245">
        <f t="shared" si="4"/>
        <v>-46.932</v>
      </c>
      <c r="K28" s="245">
        <f t="shared" si="4"/>
        <v>17.935</v>
      </c>
      <c r="L28" s="245">
        <f t="shared" si="4"/>
        <v>-16.297000000000004</v>
      </c>
      <c r="M28" s="245">
        <f t="shared" si="4"/>
        <v>-5.142000000000003</v>
      </c>
      <c r="N28" s="245">
        <f t="shared" si="4"/>
        <v>-24.986</v>
      </c>
      <c r="O28" s="245">
        <f t="shared" si="4"/>
        <v>-18.115</v>
      </c>
      <c r="P28" s="245">
        <f t="shared" si="4"/>
        <v>-29.507000000000005</v>
      </c>
      <c r="Q28" s="1"/>
      <c r="R28" s="1"/>
      <c r="S28" s="1"/>
      <c r="T28" s="574"/>
    </row>
    <row r="29" spans="1:20" ht="12.75">
      <c r="A29" s="579" t="s">
        <v>193</v>
      </c>
      <c r="B29" s="11">
        <v>47.27</v>
      </c>
      <c r="C29" s="245">
        <v>64.08</v>
      </c>
      <c r="D29" s="245">
        <v>89.32</v>
      </c>
      <c r="E29" s="245">
        <v>26.26</v>
      </c>
      <c r="F29" s="245">
        <v>135.7</v>
      </c>
      <c r="G29" s="245">
        <v>96.99</v>
      </c>
      <c r="H29" s="245">
        <v>15.47</v>
      </c>
      <c r="I29" s="245">
        <v>44.37</v>
      </c>
      <c r="J29" s="245">
        <v>20.59</v>
      </c>
      <c r="K29" s="245">
        <v>47.67</v>
      </c>
      <c r="L29" s="245">
        <v>44.35</v>
      </c>
      <c r="M29" s="245">
        <v>61.06</v>
      </c>
      <c r="N29" s="245">
        <v>49.38</v>
      </c>
      <c r="O29" s="245">
        <v>1</v>
      </c>
      <c r="P29" s="245">
        <v>3.45</v>
      </c>
      <c r="Q29" s="291"/>
      <c r="R29" s="291"/>
      <c r="S29" s="291"/>
      <c r="T29" s="572">
        <f>(C29*$C$3+D29*$D$3+E29*$E$3+F29*$F$3+G29*$G$3+H29*$H$3+I29*$I$3+J29*$J$3+K29*$K$3+L29*$L$3+M29*$M$3+N29*$N$3+O29*$O$3+P29*$P$3)/100</f>
        <v>46.73500000000001</v>
      </c>
    </row>
    <row r="30" spans="1:20" ht="12.75">
      <c r="A30" s="573"/>
      <c r="B30" s="1"/>
      <c r="C30" s="499">
        <f aca="true" t="shared" si="5" ref="C30:P30">$B29*C$3/10</f>
        <v>9.454</v>
      </c>
      <c r="D30" s="499">
        <f t="shared" si="5"/>
        <v>23.635</v>
      </c>
      <c r="E30" s="499">
        <f t="shared" si="5"/>
        <v>9.454</v>
      </c>
      <c r="F30" s="499">
        <f t="shared" si="5"/>
        <v>14.181000000000001</v>
      </c>
      <c r="G30" s="499">
        <f t="shared" si="5"/>
        <v>42.543</v>
      </c>
      <c r="H30" s="499">
        <f t="shared" si="5"/>
        <v>14.181000000000001</v>
      </c>
      <c r="I30" s="499">
        <f t="shared" si="5"/>
        <v>33.089000000000006</v>
      </c>
      <c r="J30" s="499">
        <f t="shared" si="5"/>
        <v>66.17800000000001</v>
      </c>
      <c r="K30" s="499">
        <f t="shared" si="5"/>
        <v>23.635</v>
      </c>
      <c r="L30" s="499">
        <f t="shared" si="5"/>
        <v>42.543</v>
      </c>
      <c r="M30" s="499">
        <f t="shared" si="5"/>
        <v>66.17800000000001</v>
      </c>
      <c r="N30" s="499">
        <f t="shared" si="5"/>
        <v>56.724000000000004</v>
      </c>
      <c r="O30" s="499">
        <f t="shared" si="5"/>
        <v>23.635</v>
      </c>
      <c r="P30" s="499">
        <f t="shared" si="5"/>
        <v>42.543</v>
      </c>
      <c r="Q30" s="1"/>
      <c r="R30" s="1"/>
      <c r="S30" s="1"/>
      <c r="T30" s="574"/>
    </row>
    <row r="31" spans="1:20" ht="12.75">
      <c r="A31" s="573"/>
      <c r="B31" s="1"/>
      <c r="C31" s="245">
        <f aca="true" t="shared" si="6" ref="C31:P31">C29-C30</f>
        <v>54.626</v>
      </c>
      <c r="D31" s="245">
        <f t="shared" si="6"/>
        <v>65.68499999999999</v>
      </c>
      <c r="E31" s="245">
        <f t="shared" si="6"/>
        <v>16.806</v>
      </c>
      <c r="F31" s="245">
        <f t="shared" si="6"/>
        <v>121.51899999999999</v>
      </c>
      <c r="G31" s="245">
        <f t="shared" si="6"/>
        <v>54.446999999999996</v>
      </c>
      <c r="H31" s="245">
        <f t="shared" si="6"/>
        <v>1.2889999999999997</v>
      </c>
      <c r="I31" s="245">
        <f t="shared" si="6"/>
        <v>11.280999999999992</v>
      </c>
      <c r="J31" s="245">
        <f t="shared" si="6"/>
        <v>-45.58800000000001</v>
      </c>
      <c r="K31" s="245">
        <f t="shared" si="6"/>
        <v>24.035</v>
      </c>
      <c r="L31" s="245">
        <f t="shared" si="6"/>
        <v>1.8070000000000022</v>
      </c>
      <c r="M31" s="245">
        <f t="shared" si="6"/>
        <v>-5.118000000000009</v>
      </c>
      <c r="N31" s="245">
        <f t="shared" si="6"/>
        <v>-7.344000000000001</v>
      </c>
      <c r="O31" s="245">
        <f t="shared" si="6"/>
        <v>-22.635</v>
      </c>
      <c r="P31" s="245">
        <f t="shared" si="6"/>
        <v>-39.092999999999996</v>
      </c>
      <c r="Q31" s="1"/>
      <c r="R31" s="1"/>
      <c r="S31" s="1"/>
      <c r="T31" s="574"/>
    </row>
    <row r="32" spans="1:20" ht="12.75">
      <c r="A32" s="580" t="s">
        <v>275</v>
      </c>
      <c r="B32" s="81">
        <v>45.09</v>
      </c>
      <c r="C32" s="245">
        <v>62.39</v>
      </c>
      <c r="D32" s="245">
        <v>95.52</v>
      </c>
      <c r="E32" s="245">
        <v>33.11</v>
      </c>
      <c r="F32" s="245">
        <v>131.58</v>
      </c>
      <c r="G32" s="245">
        <v>90.65</v>
      </c>
      <c r="H32" s="245">
        <v>17.79</v>
      </c>
      <c r="I32" s="245">
        <v>44.15</v>
      </c>
      <c r="J32" s="245">
        <v>17.97</v>
      </c>
      <c r="K32" s="245">
        <v>37.88</v>
      </c>
      <c r="L32" s="245">
        <v>44.35</v>
      </c>
      <c r="M32" s="245">
        <v>53.23</v>
      </c>
      <c r="N32" s="245">
        <v>49.38</v>
      </c>
      <c r="O32" s="245">
        <v>1</v>
      </c>
      <c r="P32" s="245">
        <v>4.06</v>
      </c>
      <c r="Q32" s="291"/>
      <c r="R32" s="291"/>
      <c r="S32" s="291"/>
      <c r="T32" s="572">
        <f>(C32*$C$3+D32*$D$3+E32*$E$3+F32*$F$3+G32*$G$3+H32*$H$3+I32*$I$3+J32*$J$3+K32*$K$3+L32*$L$3+M32*$M$3+N32*$N$3+O32*$O$3+P32*$P$3)/100</f>
        <v>44.610600000000005</v>
      </c>
    </row>
    <row r="33" spans="1:20" ht="12.75">
      <c r="A33" s="573"/>
      <c r="B33" s="1"/>
      <c r="C33" s="499">
        <f aca="true" t="shared" si="7" ref="C33:P33">$B32*C$3/10</f>
        <v>9.018</v>
      </c>
      <c r="D33" s="499">
        <f t="shared" si="7"/>
        <v>22.545</v>
      </c>
      <c r="E33" s="499">
        <f t="shared" si="7"/>
        <v>9.018</v>
      </c>
      <c r="F33" s="499">
        <f t="shared" si="7"/>
        <v>13.527000000000001</v>
      </c>
      <c r="G33" s="499">
        <f t="shared" si="7"/>
        <v>40.581</v>
      </c>
      <c r="H33" s="499">
        <f t="shared" si="7"/>
        <v>13.527000000000001</v>
      </c>
      <c r="I33" s="499">
        <f t="shared" si="7"/>
        <v>31.563</v>
      </c>
      <c r="J33" s="499">
        <f t="shared" si="7"/>
        <v>63.126</v>
      </c>
      <c r="K33" s="499">
        <f t="shared" si="7"/>
        <v>22.545</v>
      </c>
      <c r="L33" s="499">
        <f t="shared" si="7"/>
        <v>40.581</v>
      </c>
      <c r="M33" s="499">
        <f t="shared" si="7"/>
        <v>63.126</v>
      </c>
      <c r="N33" s="499">
        <f t="shared" si="7"/>
        <v>54.108000000000004</v>
      </c>
      <c r="O33" s="499">
        <f t="shared" si="7"/>
        <v>22.545</v>
      </c>
      <c r="P33" s="499">
        <f t="shared" si="7"/>
        <v>40.581</v>
      </c>
      <c r="Q33" s="1"/>
      <c r="R33" s="1"/>
      <c r="S33" s="1"/>
      <c r="T33" s="574"/>
    </row>
    <row r="34" spans="1:20" ht="12.75">
      <c r="A34" s="573"/>
      <c r="B34" s="1"/>
      <c r="C34" s="245">
        <f aca="true" t="shared" si="8" ref="C34:P34">C32-C33</f>
        <v>53.372</v>
      </c>
      <c r="D34" s="245">
        <f t="shared" si="8"/>
        <v>72.975</v>
      </c>
      <c r="E34" s="245">
        <f t="shared" si="8"/>
        <v>24.092</v>
      </c>
      <c r="F34" s="245">
        <f t="shared" si="8"/>
        <v>118.05300000000001</v>
      </c>
      <c r="G34" s="245">
        <f t="shared" si="8"/>
        <v>50.069</v>
      </c>
      <c r="H34" s="245">
        <f t="shared" si="8"/>
        <v>4.262999999999998</v>
      </c>
      <c r="I34" s="245">
        <f t="shared" si="8"/>
        <v>12.587</v>
      </c>
      <c r="J34" s="245">
        <f t="shared" si="8"/>
        <v>-45.156</v>
      </c>
      <c r="K34" s="245">
        <f t="shared" si="8"/>
        <v>15.335</v>
      </c>
      <c r="L34" s="245">
        <f t="shared" si="8"/>
        <v>3.7689999999999984</v>
      </c>
      <c r="M34" s="245">
        <f t="shared" si="8"/>
        <v>-9.896</v>
      </c>
      <c r="N34" s="245">
        <f t="shared" si="8"/>
        <v>-4.7280000000000015</v>
      </c>
      <c r="O34" s="245">
        <f t="shared" si="8"/>
        <v>-21.545</v>
      </c>
      <c r="P34" s="245">
        <f t="shared" si="8"/>
        <v>-36.521</v>
      </c>
      <c r="Q34" s="1"/>
      <c r="R34" s="1"/>
      <c r="S34" s="1"/>
      <c r="T34" s="574"/>
    </row>
    <row r="35" spans="1:20" ht="12.75">
      <c r="A35" s="580" t="s">
        <v>176</v>
      </c>
      <c r="B35" s="11">
        <v>33.95</v>
      </c>
      <c r="C35" s="245">
        <v>55.87</v>
      </c>
      <c r="D35" s="245">
        <v>72.59</v>
      </c>
      <c r="E35" s="245">
        <v>22.84</v>
      </c>
      <c r="F35" s="245">
        <v>107.3</v>
      </c>
      <c r="G35" s="245">
        <v>87.6</v>
      </c>
      <c r="H35" s="245">
        <v>8.91</v>
      </c>
      <c r="I35" s="245">
        <v>24.29</v>
      </c>
      <c r="J35" s="245">
        <v>9.43</v>
      </c>
      <c r="K35" s="245">
        <v>35.27</v>
      </c>
      <c r="L35" s="245">
        <v>26.67</v>
      </c>
      <c r="M35" s="245">
        <v>46.71</v>
      </c>
      <c r="N35" s="245">
        <v>23.21</v>
      </c>
      <c r="O35" s="245">
        <v>1.7</v>
      </c>
      <c r="P35" s="245">
        <v>4.99</v>
      </c>
      <c r="Q35" s="291"/>
      <c r="R35" s="291"/>
      <c r="S35" s="291"/>
      <c r="T35" s="572">
        <f>(C35*$C$3+D35*$D$3+E35*$E$3+F35*$F$3+G35*$G$3+H35*$H$3+I35*$I$3+J35*$J$3+K35*$K$3+L35*$L$3+M35*$M$3+N35*$N$3+O35*$O$3+P35*$P$3)/100</f>
        <v>33.617000000000004</v>
      </c>
    </row>
    <row r="36" spans="1:20" ht="12.75">
      <c r="A36" s="573"/>
      <c r="B36" s="1"/>
      <c r="C36" s="499">
        <f aca="true" t="shared" si="9" ref="C36:P36">$B35*C$3/10</f>
        <v>6.790000000000001</v>
      </c>
      <c r="D36" s="499">
        <f t="shared" si="9"/>
        <v>16.975</v>
      </c>
      <c r="E36" s="499">
        <f t="shared" si="9"/>
        <v>6.790000000000001</v>
      </c>
      <c r="F36" s="499">
        <f t="shared" si="9"/>
        <v>10.185</v>
      </c>
      <c r="G36" s="499">
        <f t="shared" si="9"/>
        <v>30.555</v>
      </c>
      <c r="H36" s="499">
        <f t="shared" si="9"/>
        <v>10.185</v>
      </c>
      <c r="I36" s="499">
        <f t="shared" si="9"/>
        <v>23.765000000000004</v>
      </c>
      <c r="J36" s="499">
        <f t="shared" si="9"/>
        <v>47.53000000000001</v>
      </c>
      <c r="K36" s="499">
        <f t="shared" si="9"/>
        <v>16.975</v>
      </c>
      <c r="L36" s="499">
        <f t="shared" si="9"/>
        <v>30.555</v>
      </c>
      <c r="M36" s="499">
        <f t="shared" si="9"/>
        <v>47.53000000000001</v>
      </c>
      <c r="N36" s="499">
        <f t="shared" si="9"/>
        <v>40.74</v>
      </c>
      <c r="O36" s="499">
        <f t="shared" si="9"/>
        <v>16.975</v>
      </c>
      <c r="P36" s="499">
        <f t="shared" si="9"/>
        <v>30.555</v>
      </c>
      <c r="Q36" s="1"/>
      <c r="R36" s="1"/>
      <c r="S36" s="1"/>
      <c r="T36" s="574"/>
    </row>
    <row r="37" spans="1:20" ht="12.75">
      <c r="A37" s="573"/>
      <c r="B37" s="1"/>
      <c r="C37" s="245">
        <f aca="true" t="shared" si="10" ref="C37:P37">C35-C36</f>
        <v>49.08</v>
      </c>
      <c r="D37" s="245">
        <f t="shared" si="10"/>
        <v>55.615</v>
      </c>
      <c r="E37" s="245">
        <f t="shared" si="10"/>
        <v>16.049999999999997</v>
      </c>
      <c r="F37" s="245">
        <f t="shared" si="10"/>
        <v>97.115</v>
      </c>
      <c r="G37" s="245">
        <f t="shared" si="10"/>
        <v>57.044999999999995</v>
      </c>
      <c r="H37" s="245">
        <f t="shared" si="10"/>
        <v>-1.2750000000000004</v>
      </c>
      <c r="I37" s="245">
        <f t="shared" si="10"/>
        <v>0.524999999999995</v>
      </c>
      <c r="J37" s="245">
        <f t="shared" si="10"/>
        <v>-38.10000000000001</v>
      </c>
      <c r="K37" s="245">
        <f t="shared" si="10"/>
        <v>18.295</v>
      </c>
      <c r="L37" s="245">
        <f t="shared" si="10"/>
        <v>-3.884999999999998</v>
      </c>
      <c r="M37" s="245">
        <f t="shared" si="10"/>
        <v>-0.8200000000000074</v>
      </c>
      <c r="N37" s="245">
        <f t="shared" si="10"/>
        <v>-17.53</v>
      </c>
      <c r="O37" s="245">
        <f t="shared" si="10"/>
        <v>-15.275000000000002</v>
      </c>
      <c r="P37" s="245">
        <f t="shared" si="10"/>
        <v>-25.564999999999998</v>
      </c>
      <c r="Q37" s="1"/>
      <c r="R37" s="1"/>
      <c r="S37" s="1"/>
      <c r="T37" s="574"/>
    </row>
    <row r="38" spans="1:20" ht="12.75">
      <c r="A38" s="580" t="s">
        <v>274</v>
      </c>
      <c r="B38" s="11">
        <v>20.15</v>
      </c>
      <c r="C38" s="245">
        <v>19.96</v>
      </c>
      <c r="D38" s="245">
        <v>29.96</v>
      </c>
      <c r="E38" s="245">
        <v>17.22</v>
      </c>
      <c r="F38" s="245">
        <v>47.27</v>
      </c>
      <c r="G38" s="245">
        <v>33.23</v>
      </c>
      <c r="H38" s="245">
        <v>10.05</v>
      </c>
      <c r="I38" s="245">
        <v>19.26</v>
      </c>
      <c r="J38" s="245">
        <v>11.43</v>
      </c>
      <c r="K38" s="245">
        <v>22.21</v>
      </c>
      <c r="L38" s="245">
        <v>22.48</v>
      </c>
      <c r="M38" s="245">
        <v>18.25</v>
      </c>
      <c r="N38" s="245">
        <v>33.35</v>
      </c>
      <c r="O38" s="245">
        <v>1.2</v>
      </c>
      <c r="P38" s="245">
        <v>2.97</v>
      </c>
      <c r="Q38" s="291"/>
      <c r="R38" s="291"/>
      <c r="S38" s="291"/>
      <c r="T38" s="572">
        <f>(C38*$C$3+D38*$D$3+E38*$E$3+F38*$F$3+G38*$G$3+H38*$H$3+I38*$I$3+J38*$J$3+K38*$K$3+L38*$L$3+M38*$M$3+N38*$N$3+O38*$O$3+P38*$P$3)/100</f>
        <v>19.9183</v>
      </c>
    </row>
    <row r="39" spans="1:20" ht="12.75">
      <c r="A39" s="573"/>
      <c r="B39" s="1"/>
      <c r="C39" s="499">
        <f aca="true" t="shared" si="11" ref="C39:P39">$B38*C$3/10</f>
        <v>4.029999999999999</v>
      </c>
      <c r="D39" s="499">
        <f t="shared" si="11"/>
        <v>10.075</v>
      </c>
      <c r="E39" s="499">
        <f t="shared" si="11"/>
        <v>4.029999999999999</v>
      </c>
      <c r="F39" s="499">
        <f t="shared" si="11"/>
        <v>6.045</v>
      </c>
      <c r="G39" s="499">
        <f t="shared" si="11"/>
        <v>18.134999999999998</v>
      </c>
      <c r="H39" s="499">
        <f t="shared" si="11"/>
        <v>6.045</v>
      </c>
      <c r="I39" s="499">
        <f t="shared" si="11"/>
        <v>14.104999999999999</v>
      </c>
      <c r="J39" s="499">
        <f t="shared" si="11"/>
        <v>28.209999999999997</v>
      </c>
      <c r="K39" s="499">
        <f t="shared" si="11"/>
        <v>10.075</v>
      </c>
      <c r="L39" s="499">
        <f t="shared" si="11"/>
        <v>18.134999999999998</v>
      </c>
      <c r="M39" s="499">
        <f t="shared" si="11"/>
        <v>28.209999999999997</v>
      </c>
      <c r="N39" s="499">
        <f t="shared" si="11"/>
        <v>24.18</v>
      </c>
      <c r="O39" s="499">
        <f t="shared" si="11"/>
        <v>10.075</v>
      </c>
      <c r="P39" s="499">
        <f t="shared" si="11"/>
        <v>18.134999999999998</v>
      </c>
      <c r="Q39" s="1"/>
      <c r="R39" s="1"/>
      <c r="S39" s="1"/>
      <c r="T39" s="574"/>
    </row>
    <row r="40" spans="1:20" ht="12.75">
      <c r="A40" s="573"/>
      <c r="B40" s="1"/>
      <c r="C40" s="245">
        <f aca="true" t="shared" si="12" ref="C40:P40">C38-C39</f>
        <v>15.930000000000001</v>
      </c>
      <c r="D40" s="245">
        <f t="shared" si="12"/>
        <v>19.885</v>
      </c>
      <c r="E40" s="245">
        <f t="shared" si="12"/>
        <v>13.19</v>
      </c>
      <c r="F40" s="245">
        <f t="shared" si="12"/>
        <v>41.225</v>
      </c>
      <c r="G40" s="245">
        <f t="shared" si="12"/>
        <v>15.094999999999999</v>
      </c>
      <c r="H40" s="245">
        <f t="shared" si="12"/>
        <v>4.005000000000001</v>
      </c>
      <c r="I40" s="245">
        <f t="shared" si="12"/>
        <v>5.155000000000003</v>
      </c>
      <c r="J40" s="245">
        <f t="shared" si="12"/>
        <v>-16.779999999999998</v>
      </c>
      <c r="K40" s="245">
        <f t="shared" si="12"/>
        <v>12.135000000000002</v>
      </c>
      <c r="L40" s="245">
        <f t="shared" si="12"/>
        <v>4.345000000000002</v>
      </c>
      <c r="M40" s="245">
        <f t="shared" si="12"/>
        <v>-9.959999999999997</v>
      </c>
      <c r="N40" s="245">
        <f t="shared" si="12"/>
        <v>9.170000000000002</v>
      </c>
      <c r="O40" s="245">
        <f t="shared" si="12"/>
        <v>-8.875</v>
      </c>
      <c r="P40" s="245">
        <f t="shared" si="12"/>
        <v>-15.164999999999997</v>
      </c>
      <c r="Q40" s="1"/>
      <c r="R40" s="1"/>
      <c r="S40" s="1"/>
      <c r="T40" s="574"/>
    </row>
    <row r="41" spans="1:20" ht="12.75">
      <c r="A41" s="580" t="s">
        <v>263</v>
      </c>
      <c r="B41" s="11">
        <v>9.43</v>
      </c>
      <c r="C41" s="245">
        <v>11.57</v>
      </c>
      <c r="D41" s="245">
        <v>16.42</v>
      </c>
      <c r="E41" s="245">
        <v>10.63</v>
      </c>
      <c r="F41" s="245">
        <v>23.13</v>
      </c>
      <c r="G41" s="245">
        <v>15.84</v>
      </c>
      <c r="H41" s="245">
        <v>7.95</v>
      </c>
      <c r="I41" s="245">
        <v>7.84</v>
      </c>
      <c r="J41" s="245">
        <v>5.49</v>
      </c>
      <c r="K41" s="245">
        <v>13.08</v>
      </c>
      <c r="L41" s="245">
        <v>10.64</v>
      </c>
      <c r="M41" s="245">
        <v>10.18</v>
      </c>
      <c r="N41" s="245">
        <v>9.95</v>
      </c>
      <c r="O41" s="245">
        <v>1.43</v>
      </c>
      <c r="P41" s="245">
        <v>2</v>
      </c>
      <c r="Q41" s="291"/>
      <c r="R41" s="291"/>
      <c r="S41" s="291"/>
      <c r="T41" s="572">
        <f>(C41*$C$3+D41*$D$3+E41*$E$3+F41*$F$3+G41*$G$3+H41*$H$3+I41*$I$3+J41*$J$3+K41*$K$3+L41*$L$3+M41*$M$3+N41*$N$3+O41*$O$3+P41*$P$3)/100</f>
        <v>9.422699999999999</v>
      </c>
    </row>
    <row r="42" spans="1:20" ht="12.75">
      <c r="A42" s="573"/>
      <c r="B42" s="1"/>
      <c r="C42" s="499">
        <f aca="true" t="shared" si="13" ref="C42:P42">$B41*C$3/10</f>
        <v>1.886</v>
      </c>
      <c r="D42" s="499">
        <f t="shared" si="13"/>
        <v>4.715</v>
      </c>
      <c r="E42" s="499">
        <f t="shared" si="13"/>
        <v>1.886</v>
      </c>
      <c r="F42" s="499">
        <f t="shared" si="13"/>
        <v>2.8289999999999997</v>
      </c>
      <c r="G42" s="499">
        <f t="shared" si="13"/>
        <v>8.487</v>
      </c>
      <c r="H42" s="499">
        <f t="shared" si="13"/>
        <v>2.8289999999999997</v>
      </c>
      <c r="I42" s="499">
        <f t="shared" si="13"/>
        <v>6.600999999999999</v>
      </c>
      <c r="J42" s="499">
        <f t="shared" si="13"/>
        <v>13.201999999999998</v>
      </c>
      <c r="K42" s="499">
        <f t="shared" si="13"/>
        <v>4.715</v>
      </c>
      <c r="L42" s="499">
        <f t="shared" si="13"/>
        <v>8.487</v>
      </c>
      <c r="M42" s="499">
        <f t="shared" si="13"/>
        <v>13.201999999999998</v>
      </c>
      <c r="N42" s="499">
        <f t="shared" si="13"/>
        <v>11.315999999999999</v>
      </c>
      <c r="O42" s="499">
        <f t="shared" si="13"/>
        <v>4.715</v>
      </c>
      <c r="P42" s="499">
        <f t="shared" si="13"/>
        <v>8.487</v>
      </c>
      <c r="Q42" s="1"/>
      <c r="R42" s="1"/>
      <c r="S42" s="1"/>
      <c r="T42" s="574"/>
    </row>
    <row r="43" spans="1:20" ht="13.5" thickBot="1">
      <c r="A43" s="369"/>
      <c r="B43" s="576"/>
      <c r="C43" s="577">
        <f aca="true" t="shared" si="14" ref="C43:P43">C41-C42</f>
        <v>9.684000000000001</v>
      </c>
      <c r="D43" s="577">
        <f t="shared" si="14"/>
        <v>11.705000000000002</v>
      </c>
      <c r="E43" s="577">
        <f t="shared" si="14"/>
        <v>8.744000000000002</v>
      </c>
      <c r="F43" s="577">
        <f t="shared" si="14"/>
        <v>20.301</v>
      </c>
      <c r="G43" s="577">
        <f t="shared" si="14"/>
        <v>7.353</v>
      </c>
      <c r="H43" s="577">
        <f t="shared" si="14"/>
        <v>5.121</v>
      </c>
      <c r="I43" s="577">
        <f t="shared" si="14"/>
        <v>1.2390000000000008</v>
      </c>
      <c r="J43" s="577">
        <f t="shared" si="14"/>
        <v>-7.711999999999998</v>
      </c>
      <c r="K43" s="577">
        <f t="shared" si="14"/>
        <v>8.365</v>
      </c>
      <c r="L43" s="577">
        <f t="shared" si="14"/>
        <v>2.1530000000000005</v>
      </c>
      <c r="M43" s="577">
        <f t="shared" si="14"/>
        <v>-3.0219999999999985</v>
      </c>
      <c r="N43" s="577">
        <f t="shared" si="14"/>
        <v>-1.3659999999999997</v>
      </c>
      <c r="O43" s="577">
        <f t="shared" si="14"/>
        <v>-3.285</v>
      </c>
      <c r="P43" s="577">
        <f t="shared" si="14"/>
        <v>-6.487</v>
      </c>
      <c r="Q43" s="576"/>
      <c r="R43" s="576"/>
      <c r="S43" s="576"/>
      <c r="T43" s="578"/>
    </row>
    <row r="44" spans="3:20" ht="13.5" thickBot="1"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1"/>
      <c r="R44" s="1"/>
      <c r="S44" s="1"/>
      <c r="T44" s="1"/>
    </row>
    <row r="45" spans="1:20" ht="13.5" thickBot="1">
      <c r="A45" s="584" t="s">
        <v>396</v>
      </c>
      <c r="B45" s="585"/>
      <c r="C45" s="586" t="s">
        <v>55</v>
      </c>
      <c r="D45" s="586" t="s">
        <v>35</v>
      </c>
      <c r="E45" s="586" t="s">
        <v>56</v>
      </c>
      <c r="F45" s="586" t="s">
        <v>169</v>
      </c>
      <c r="G45" s="586" t="s">
        <v>29</v>
      </c>
      <c r="H45" s="586" t="s">
        <v>170</v>
      </c>
      <c r="I45" s="586" t="s">
        <v>177</v>
      </c>
      <c r="J45" s="586" t="s">
        <v>178</v>
      </c>
      <c r="K45" s="586" t="s">
        <v>60</v>
      </c>
      <c r="L45" s="586" t="s">
        <v>34</v>
      </c>
      <c r="M45" s="586" t="s">
        <v>61</v>
      </c>
      <c r="N45" s="586" t="s">
        <v>30</v>
      </c>
      <c r="O45" s="586" t="s">
        <v>179</v>
      </c>
      <c r="P45" s="586" t="s">
        <v>182</v>
      </c>
      <c r="Q45" s="585"/>
      <c r="R45" s="585"/>
      <c r="S45" s="585"/>
      <c r="T45" s="587"/>
    </row>
    <row r="46" spans="1:20" ht="12.75">
      <c r="A46" s="581" t="s">
        <v>289</v>
      </c>
      <c r="B46" s="99">
        <v>48.38</v>
      </c>
      <c r="C46" s="287">
        <v>5.37</v>
      </c>
      <c r="D46" s="287">
        <v>120.31</v>
      </c>
      <c r="E46" s="287">
        <v>78.4</v>
      </c>
      <c r="F46" s="287">
        <v>91.26</v>
      </c>
      <c r="G46" s="287">
        <v>44.17</v>
      </c>
      <c r="H46" s="287">
        <v>76.1</v>
      </c>
      <c r="I46" s="287">
        <v>41.04</v>
      </c>
      <c r="J46" s="287">
        <v>18.39</v>
      </c>
      <c r="K46" s="287">
        <v>37.88</v>
      </c>
      <c r="L46" s="287">
        <v>44.12</v>
      </c>
      <c r="M46" s="287">
        <v>24.37</v>
      </c>
      <c r="N46" s="287">
        <v>49.38</v>
      </c>
      <c r="O46" s="287">
        <v>74.82</v>
      </c>
      <c r="P46" s="287">
        <v>4.27</v>
      </c>
      <c r="Q46" s="582"/>
      <c r="R46" s="582"/>
      <c r="S46" s="582"/>
      <c r="T46" s="583">
        <f>(C46*$C$5+D46*$D$5+E46*$E$5+F46*$F$5+G46*$G$5+H46*$H$5+I46*$I$5+J46*$J$5+K46*$K$5+L46*$L$5+M46*$M$5+N46*$N$5+O46*$O$5+P46*$P$5)/100</f>
        <v>47.241000000000014</v>
      </c>
    </row>
    <row r="47" spans="1:20" ht="12.75">
      <c r="A47" s="573"/>
      <c r="B47" s="1"/>
      <c r="C47" s="499">
        <f>$B46*C$5/10</f>
        <v>14.514000000000001</v>
      </c>
      <c r="D47" s="499">
        <f aca="true" t="shared" si="15" ref="D47:P47">$B46*D$5/10</f>
        <v>24.19</v>
      </c>
      <c r="E47" s="499">
        <f t="shared" si="15"/>
        <v>24.19</v>
      </c>
      <c r="F47" s="499">
        <f t="shared" si="15"/>
        <v>24.19</v>
      </c>
      <c r="G47" s="499">
        <f t="shared" si="15"/>
        <v>19.352</v>
      </c>
      <c r="H47" s="499">
        <f t="shared" si="15"/>
        <v>24.19</v>
      </c>
      <c r="I47" s="499">
        <f t="shared" si="15"/>
        <v>77.408</v>
      </c>
      <c r="J47" s="499">
        <f t="shared" si="15"/>
        <v>38.704</v>
      </c>
      <c r="K47" s="499">
        <f t="shared" si="15"/>
        <v>24.19</v>
      </c>
      <c r="L47" s="499">
        <f t="shared" si="15"/>
        <v>38.704</v>
      </c>
      <c r="M47" s="499">
        <f t="shared" si="15"/>
        <v>53.218</v>
      </c>
      <c r="N47" s="499">
        <f t="shared" si="15"/>
        <v>67.732</v>
      </c>
      <c r="O47" s="499">
        <f t="shared" si="15"/>
        <v>24.19</v>
      </c>
      <c r="P47" s="499">
        <f t="shared" si="15"/>
        <v>24.19</v>
      </c>
      <c r="Q47" s="1"/>
      <c r="R47" s="1"/>
      <c r="S47" s="1"/>
      <c r="T47" s="574"/>
    </row>
    <row r="48" spans="1:20" ht="12.75">
      <c r="A48" s="573"/>
      <c r="B48" s="1"/>
      <c r="C48" s="245">
        <f aca="true" t="shared" si="16" ref="C48:P48">C46-C47</f>
        <v>-9.144000000000002</v>
      </c>
      <c r="D48" s="245">
        <f t="shared" si="16"/>
        <v>96.12</v>
      </c>
      <c r="E48" s="245">
        <f t="shared" si="16"/>
        <v>54.21000000000001</v>
      </c>
      <c r="F48" s="245">
        <f t="shared" si="16"/>
        <v>67.07000000000001</v>
      </c>
      <c r="G48" s="245">
        <f t="shared" si="16"/>
        <v>24.818</v>
      </c>
      <c r="H48" s="245">
        <f t="shared" si="16"/>
        <v>51.91</v>
      </c>
      <c r="I48" s="245">
        <f t="shared" si="16"/>
        <v>-36.368</v>
      </c>
      <c r="J48" s="245">
        <f t="shared" si="16"/>
        <v>-20.314</v>
      </c>
      <c r="K48" s="245">
        <f t="shared" si="16"/>
        <v>13.690000000000001</v>
      </c>
      <c r="L48" s="245">
        <f t="shared" si="16"/>
        <v>5.415999999999997</v>
      </c>
      <c r="M48" s="245">
        <f t="shared" si="16"/>
        <v>-28.848000000000003</v>
      </c>
      <c r="N48" s="245">
        <f t="shared" si="16"/>
        <v>-18.351999999999997</v>
      </c>
      <c r="O48" s="245">
        <f t="shared" si="16"/>
        <v>50.629999999999995</v>
      </c>
      <c r="P48" s="245">
        <f t="shared" si="16"/>
        <v>-19.92</v>
      </c>
      <c r="Q48" s="1"/>
      <c r="R48" s="1"/>
      <c r="S48" s="1"/>
      <c r="T48" s="574"/>
    </row>
    <row r="49" spans="1:20" ht="12.75">
      <c r="A49" s="571" t="s">
        <v>279</v>
      </c>
      <c r="B49" s="11">
        <v>42.62</v>
      </c>
      <c r="C49" s="245">
        <v>2.93</v>
      </c>
      <c r="D49" s="245">
        <v>135.77</v>
      </c>
      <c r="E49" s="245">
        <v>97.86</v>
      </c>
      <c r="F49" s="245">
        <v>91.52</v>
      </c>
      <c r="G49" s="245">
        <v>28.73</v>
      </c>
      <c r="H49" s="245">
        <v>85.48</v>
      </c>
      <c r="I49" s="245">
        <v>44.25</v>
      </c>
      <c r="J49" s="245">
        <v>12.04</v>
      </c>
      <c r="K49" s="245">
        <v>31.48</v>
      </c>
      <c r="L49" s="245">
        <v>18.29</v>
      </c>
      <c r="M49" s="245">
        <v>5.2</v>
      </c>
      <c r="N49" s="245">
        <v>23.21</v>
      </c>
      <c r="O49" s="245">
        <v>84.29</v>
      </c>
      <c r="P49" s="245">
        <v>5.08</v>
      </c>
      <c r="Q49" s="291"/>
      <c r="R49" s="291"/>
      <c r="S49" s="291"/>
      <c r="T49" s="572">
        <f>(C49*$C$5+D49*$D$5+E49*$E$5+F49*$F$5+G49*$G$5+H49*$H$5+I49*$I$5+J49*$J$5+K49*$K$5+L49*$L$5+M49*$M$5+N49*$N$5+O49*$O$5+P49*$P$5)/100</f>
        <v>41.13890000000001</v>
      </c>
    </row>
    <row r="50" spans="1:20" ht="12.75">
      <c r="A50" s="573"/>
      <c r="B50" s="1"/>
      <c r="C50" s="499">
        <f aca="true" t="shared" si="17" ref="C50:P50">$B49*C$5/10</f>
        <v>12.785999999999998</v>
      </c>
      <c r="D50" s="499">
        <f t="shared" si="17"/>
        <v>21.31</v>
      </c>
      <c r="E50" s="499">
        <f t="shared" si="17"/>
        <v>21.31</v>
      </c>
      <c r="F50" s="499">
        <f t="shared" si="17"/>
        <v>21.31</v>
      </c>
      <c r="G50" s="499">
        <f t="shared" si="17"/>
        <v>17.048</v>
      </c>
      <c r="H50" s="499">
        <f t="shared" si="17"/>
        <v>21.31</v>
      </c>
      <c r="I50" s="499">
        <f t="shared" si="17"/>
        <v>68.192</v>
      </c>
      <c r="J50" s="499">
        <f t="shared" si="17"/>
        <v>34.096</v>
      </c>
      <c r="K50" s="499">
        <f t="shared" si="17"/>
        <v>21.31</v>
      </c>
      <c r="L50" s="499">
        <f t="shared" si="17"/>
        <v>34.096</v>
      </c>
      <c r="M50" s="499">
        <f t="shared" si="17"/>
        <v>46.882</v>
      </c>
      <c r="N50" s="499">
        <f t="shared" si="17"/>
        <v>59.66799999999999</v>
      </c>
      <c r="O50" s="499">
        <f t="shared" si="17"/>
        <v>21.31</v>
      </c>
      <c r="P50" s="499">
        <f t="shared" si="17"/>
        <v>21.31</v>
      </c>
      <c r="Q50" s="1"/>
      <c r="R50" s="1"/>
      <c r="S50" s="1"/>
      <c r="T50" s="574"/>
    </row>
    <row r="51" spans="1:20" ht="12.75">
      <c r="A51" s="573"/>
      <c r="B51" s="1"/>
      <c r="C51" s="245">
        <f aca="true" t="shared" si="18" ref="C51:P51">C49-C50</f>
        <v>-9.855999999999998</v>
      </c>
      <c r="D51" s="245">
        <f t="shared" si="18"/>
        <v>114.46000000000001</v>
      </c>
      <c r="E51" s="245">
        <f t="shared" si="18"/>
        <v>76.55</v>
      </c>
      <c r="F51" s="245">
        <f t="shared" si="18"/>
        <v>70.21</v>
      </c>
      <c r="G51" s="245">
        <f t="shared" si="18"/>
        <v>11.682000000000002</v>
      </c>
      <c r="H51" s="245">
        <f t="shared" si="18"/>
        <v>64.17</v>
      </c>
      <c r="I51" s="245">
        <f t="shared" si="18"/>
        <v>-23.941999999999993</v>
      </c>
      <c r="J51" s="245">
        <f t="shared" si="18"/>
        <v>-22.055999999999997</v>
      </c>
      <c r="K51" s="245">
        <f t="shared" si="18"/>
        <v>10.170000000000002</v>
      </c>
      <c r="L51" s="245">
        <f t="shared" si="18"/>
        <v>-15.805999999999997</v>
      </c>
      <c r="M51" s="245">
        <f t="shared" si="18"/>
        <v>-41.681999999999995</v>
      </c>
      <c r="N51" s="245">
        <f t="shared" si="18"/>
        <v>-36.45799999999999</v>
      </c>
      <c r="O51" s="245">
        <f t="shared" si="18"/>
        <v>62.980000000000004</v>
      </c>
      <c r="P51" s="245">
        <f t="shared" si="18"/>
        <v>-16.229999999999997</v>
      </c>
      <c r="Q51" s="1"/>
      <c r="R51" s="1"/>
      <c r="S51" s="1"/>
      <c r="T51" s="574"/>
    </row>
    <row r="52" spans="1:20" ht="12.75">
      <c r="A52" s="571" t="s">
        <v>290</v>
      </c>
      <c r="B52" s="11">
        <v>31.02</v>
      </c>
      <c r="C52" s="245">
        <v>8.3</v>
      </c>
      <c r="D52" s="245">
        <v>53.7</v>
      </c>
      <c r="E52" s="245">
        <v>34.08</v>
      </c>
      <c r="F52" s="245">
        <v>44.84</v>
      </c>
      <c r="G52" s="245">
        <v>20.55</v>
      </c>
      <c r="H52" s="245">
        <v>24.53</v>
      </c>
      <c r="I52" s="245">
        <v>35.01</v>
      </c>
      <c r="J52" s="245">
        <v>15.97</v>
      </c>
      <c r="K52" s="245">
        <v>33.26</v>
      </c>
      <c r="L52" s="245">
        <v>42.38</v>
      </c>
      <c r="M52" s="245">
        <v>19.61</v>
      </c>
      <c r="N52" s="245">
        <v>43.16</v>
      </c>
      <c r="O52" s="245">
        <v>26.23</v>
      </c>
      <c r="P52" s="245">
        <v>4.3</v>
      </c>
      <c r="Q52" s="291"/>
      <c r="R52" s="291"/>
      <c r="S52" s="291"/>
      <c r="T52" s="572">
        <f>(C52*$C$5+D52*$D$5+E52*$E$5+F52*$F$5+G52*$G$5+H52*$H$5+I52*$I$5+J52*$J$5+K52*$K$5+L52*$L$5+M52*$M$5+N52*$N$5+O52*$O$5+P52*$P$5)/100</f>
        <v>30.587100000000007</v>
      </c>
    </row>
    <row r="53" spans="1:20" ht="12.75">
      <c r="A53" s="573"/>
      <c r="B53" s="1"/>
      <c r="C53" s="499">
        <f aca="true" t="shared" si="19" ref="C53:P53">$B52*C$5/10</f>
        <v>9.306000000000001</v>
      </c>
      <c r="D53" s="499">
        <f t="shared" si="19"/>
        <v>15.51</v>
      </c>
      <c r="E53" s="499">
        <f t="shared" si="19"/>
        <v>15.51</v>
      </c>
      <c r="F53" s="499">
        <f t="shared" si="19"/>
        <v>15.51</v>
      </c>
      <c r="G53" s="499">
        <f t="shared" si="19"/>
        <v>12.408</v>
      </c>
      <c r="H53" s="499">
        <f t="shared" si="19"/>
        <v>15.51</v>
      </c>
      <c r="I53" s="499">
        <f t="shared" si="19"/>
        <v>49.632</v>
      </c>
      <c r="J53" s="499">
        <f t="shared" si="19"/>
        <v>24.816</v>
      </c>
      <c r="K53" s="499">
        <f t="shared" si="19"/>
        <v>15.51</v>
      </c>
      <c r="L53" s="499">
        <f t="shared" si="19"/>
        <v>24.816</v>
      </c>
      <c r="M53" s="499">
        <f t="shared" si="19"/>
        <v>34.122</v>
      </c>
      <c r="N53" s="499">
        <f t="shared" si="19"/>
        <v>43.428</v>
      </c>
      <c r="O53" s="499">
        <f t="shared" si="19"/>
        <v>15.51</v>
      </c>
      <c r="P53" s="499">
        <f t="shared" si="19"/>
        <v>15.51</v>
      </c>
      <c r="Q53" s="1"/>
      <c r="R53" s="1"/>
      <c r="S53" s="1"/>
      <c r="T53" s="574"/>
    </row>
    <row r="54" spans="1:20" ht="12.75">
      <c r="A54" s="573"/>
      <c r="B54" s="1"/>
      <c r="C54" s="245">
        <f aca="true" t="shared" si="20" ref="C54:P54">C52-C53</f>
        <v>-1.0060000000000002</v>
      </c>
      <c r="D54" s="245">
        <f t="shared" si="20"/>
        <v>38.190000000000005</v>
      </c>
      <c r="E54" s="245">
        <f t="shared" si="20"/>
        <v>18.57</v>
      </c>
      <c r="F54" s="245">
        <f t="shared" si="20"/>
        <v>29.330000000000005</v>
      </c>
      <c r="G54" s="245">
        <f t="shared" si="20"/>
        <v>8.142000000000001</v>
      </c>
      <c r="H54" s="245">
        <f t="shared" si="20"/>
        <v>9.020000000000001</v>
      </c>
      <c r="I54" s="245">
        <f t="shared" si="20"/>
        <v>-14.622</v>
      </c>
      <c r="J54" s="245">
        <f t="shared" si="20"/>
        <v>-8.845999999999998</v>
      </c>
      <c r="K54" s="245">
        <f t="shared" si="20"/>
        <v>17.75</v>
      </c>
      <c r="L54" s="245">
        <f t="shared" si="20"/>
        <v>17.564000000000004</v>
      </c>
      <c r="M54" s="245">
        <f t="shared" si="20"/>
        <v>-14.512</v>
      </c>
      <c r="N54" s="245">
        <f t="shared" si="20"/>
        <v>-0.2680000000000007</v>
      </c>
      <c r="O54" s="245">
        <f t="shared" si="20"/>
        <v>10.72</v>
      </c>
      <c r="P54" s="245">
        <f t="shared" si="20"/>
        <v>-11.21</v>
      </c>
      <c r="Q54" s="1"/>
      <c r="R54" s="1"/>
      <c r="S54" s="1"/>
      <c r="T54" s="574"/>
    </row>
    <row r="55" spans="1:20" ht="12.75">
      <c r="A55" s="571" t="s">
        <v>291</v>
      </c>
      <c r="B55" s="11">
        <v>3.52</v>
      </c>
      <c r="C55" s="245">
        <v>4.6</v>
      </c>
      <c r="D55" s="245">
        <v>2.67</v>
      </c>
      <c r="E55" s="245">
        <v>2.67</v>
      </c>
      <c r="F55" s="245">
        <v>4.47</v>
      </c>
      <c r="G55" s="245">
        <v>6.27</v>
      </c>
      <c r="H55" s="245">
        <v>1.2</v>
      </c>
      <c r="I55" s="245">
        <v>2.96</v>
      </c>
      <c r="J55" s="245">
        <v>3.05</v>
      </c>
      <c r="K55" s="245">
        <v>5.59</v>
      </c>
      <c r="L55" s="245">
        <v>5.68</v>
      </c>
      <c r="M55" s="245">
        <v>4.47</v>
      </c>
      <c r="N55" s="245">
        <v>4.09</v>
      </c>
      <c r="O55" s="245">
        <v>1.43</v>
      </c>
      <c r="P55" s="245">
        <v>1.41</v>
      </c>
      <c r="Q55" s="291"/>
      <c r="R55" s="291"/>
      <c r="S55" s="291"/>
      <c r="T55" s="572">
        <f>(C55*$C$5+D55*$D$5+E55*$E$5+F55*$F$5+G55*$G$5+H55*$H$5+I55*$I$5+J55*$J$5+K55*$K$5+L55*$L$5+M55*$M$5+N55*$N$5+O55*$O$5+P55*$P$5)/100</f>
        <v>3.5970999999999997</v>
      </c>
    </row>
    <row r="56" spans="1:20" ht="12.75">
      <c r="A56" s="573"/>
      <c r="B56" s="1"/>
      <c r="C56" s="499">
        <f aca="true" t="shared" si="21" ref="C56:P56">$B55*C$5/10</f>
        <v>1.056</v>
      </c>
      <c r="D56" s="499">
        <f t="shared" si="21"/>
        <v>1.7600000000000002</v>
      </c>
      <c r="E56" s="499">
        <f t="shared" si="21"/>
        <v>1.7600000000000002</v>
      </c>
      <c r="F56" s="499">
        <f t="shared" si="21"/>
        <v>1.7600000000000002</v>
      </c>
      <c r="G56" s="499">
        <f t="shared" si="21"/>
        <v>1.408</v>
      </c>
      <c r="H56" s="499">
        <f t="shared" si="21"/>
        <v>1.7600000000000002</v>
      </c>
      <c r="I56" s="499">
        <f t="shared" si="21"/>
        <v>5.632</v>
      </c>
      <c r="J56" s="499">
        <f t="shared" si="21"/>
        <v>2.816</v>
      </c>
      <c r="K56" s="499">
        <f t="shared" si="21"/>
        <v>1.7600000000000002</v>
      </c>
      <c r="L56" s="499">
        <f t="shared" si="21"/>
        <v>2.816</v>
      </c>
      <c r="M56" s="499">
        <f t="shared" si="21"/>
        <v>3.872</v>
      </c>
      <c r="N56" s="499">
        <f t="shared" si="21"/>
        <v>4.928</v>
      </c>
      <c r="O56" s="499">
        <f t="shared" si="21"/>
        <v>1.7600000000000002</v>
      </c>
      <c r="P56" s="499">
        <f t="shared" si="21"/>
        <v>1.7600000000000002</v>
      </c>
      <c r="Q56" s="1"/>
      <c r="R56" s="1"/>
      <c r="S56" s="1"/>
      <c r="T56" s="574"/>
    </row>
    <row r="57" spans="1:20" ht="13.5" thickBot="1">
      <c r="A57" s="369"/>
      <c r="B57" s="576"/>
      <c r="C57" s="577">
        <f aca="true" t="shared" si="22" ref="C57:P57">C55-C56</f>
        <v>3.5439999999999996</v>
      </c>
      <c r="D57" s="577">
        <f t="shared" si="22"/>
        <v>0.9099999999999997</v>
      </c>
      <c r="E57" s="577">
        <f t="shared" si="22"/>
        <v>0.9099999999999997</v>
      </c>
      <c r="F57" s="577">
        <f t="shared" si="22"/>
        <v>2.7099999999999995</v>
      </c>
      <c r="G57" s="577">
        <f t="shared" si="22"/>
        <v>4.862</v>
      </c>
      <c r="H57" s="577">
        <f t="shared" si="22"/>
        <v>-0.5600000000000003</v>
      </c>
      <c r="I57" s="577">
        <f t="shared" si="22"/>
        <v>-2.6719999999999997</v>
      </c>
      <c r="J57" s="577">
        <f t="shared" si="22"/>
        <v>0.23399999999999999</v>
      </c>
      <c r="K57" s="577">
        <f t="shared" si="22"/>
        <v>3.8299999999999996</v>
      </c>
      <c r="L57" s="577">
        <f t="shared" si="22"/>
        <v>2.864</v>
      </c>
      <c r="M57" s="577">
        <f t="shared" si="22"/>
        <v>0.5979999999999999</v>
      </c>
      <c r="N57" s="577">
        <f t="shared" si="22"/>
        <v>-0.8380000000000001</v>
      </c>
      <c r="O57" s="577">
        <f t="shared" si="22"/>
        <v>-0.3300000000000003</v>
      </c>
      <c r="P57" s="577">
        <f t="shared" si="22"/>
        <v>-0.3500000000000003</v>
      </c>
      <c r="Q57" s="576"/>
      <c r="R57" s="576"/>
      <c r="S57" s="576"/>
      <c r="T57" s="578"/>
    </row>
    <row r="58" ht="13.5" thickBot="1"/>
    <row r="59" spans="1:20" ht="13.5" thickBot="1">
      <c r="A59" s="569" t="s">
        <v>398</v>
      </c>
      <c r="B59" s="570"/>
      <c r="C59" s="586" t="s">
        <v>55</v>
      </c>
      <c r="D59" s="586" t="s">
        <v>35</v>
      </c>
      <c r="E59" s="586" t="s">
        <v>56</v>
      </c>
      <c r="F59" s="586" t="s">
        <v>169</v>
      </c>
      <c r="G59" s="586" t="s">
        <v>29</v>
      </c>
      <c r="H59" s="586" t="s">
        <v>170</v>
      </c>
      <c r="I59" s="586" t="s">
        <v>177</v>
      </c>
      <c r="J59" s="586" t="s">
        <v>178</v>
      </c>
      <c r="K59" s="586" t="s">
        <v>60</v>
      </c>
      <c r="L59" s="586" t="s">
        <v>34</v>
      </c>
      <c r="M59" s="586" t="s">
        <v>61</v>
      </c>
      <c r="N59" s="586" t="s">
        <v>30</v>
      </c>
      <c r="O59" s="586" t="s">
        <v>179</v>
      </c>
      <c r="P59" s="586" t="s">
        <v>182</v>
      </c>
      <c r="Q59" s="585"/>
      <c r="R59" s="585"/>
      <c r="S59" s="585"/>
      <c r="T59" s="587"/>
    </row>
    <row r="60" spans="1:20" ht="12.75">
      <c r="A60" s="588" t="s">
        <v>168</v>
      </c>
      <c r="B60" s="81">
        <v>37.27</v>
      </c>
      <c r="C60" s="245">
        <v>68.31</v>
      </c>
      <c r="D60" s="245">
        <v>93.45</v>
      </c>
      <c r="E60" s="245">
        <v>40.78</v>
      </c>
      <c r="F60" s="245">
        <v>134.77</v>
      </c>
      <c r="G60" s="245">
        <v>118.61</v>
      </c>
      <c r="H60" s="245">
        <v>13.18</v>
      </c>
      <c r="I60" s="245">
        <v>31.7</v>
      </c>
      <c r="J60" s="245">
        <v>5.26</v>
      </c>
      <c r="K60" s="245">
        <v>31.32</v>
      </c>
      <c r="L60" s="245">
        <v>18.29</v>
      </c>
      <c r="M60" s="245">
        <v>45.63</v>
      </c>
      <c r="N60" s="245">
        <v>18.25</v>
      </c>
      <c r="O60" s="245">
        <v>1.2</v>
      </c>
      <c r="P60" s="245">
        <v>4.99</v>
      </c>
      <c r="Q60" s="291"/>
      <c r="R60" s="291"/>
      <c r="S60" s="291"/>
      <c r="T60" s="572">
        <f>(C60*$C$6+D60*$D$6+E60*$E$6+F60*$F$6+G60*$G$6+H60*$H$6+I60*$I$6+J60*$J$6+K60*$K$6+L60*$L$6+M60*$M$6+N60*$N$6+O60*$O$6+P60*$P$6)/100</f>
        <v>36.8377</v>
      </c>
    </row>
    <row r="61" spans="1:20" ht="12.75">
      <c r="A61" s="573"/>
      <c r="B61" s="1"/>
      <c r="C61" s="568">
        <f>$B60*C$6/10</f>
        <v>18.635</v>
      </c>
      <c r="D61" s="568">
        <f aca="true" t="shared" si="23" ref="D61:P61">$B60*D$6/10</f>
        <v>11.181000000000001</v>
      </c>
      <c r="E61" s="568">
        <f t="shared" si="23"/>
        <v>18.635</v>
      </c>
      <c r="F61" s="568">
        <f t="shared" si="23"/>
        <v>11.181000000000001</v>
      </c>
      <c r="G61" s="568">
        <f t="shared" si="23"/>
        <v>26.089000000000006</v>
      </c>
      <c r="H61" s="568">
        <f t="shared" si="23"/>
        <v>37.27</v>
      </c>
      <c r="I61" s="568">
        <f t="shared" si="23"/>
        <v>37.27</v>
      </c>
      <c r="J61" s="568">
        <f t="shared" si="23"/>
        <v>29.816000000000003</v>
      </c>
      <c r="K61" s="568">
        <f t="shared" si="23"/>
        <v>26.089000000000006</v>
      </c>
      <c r="L61" s="568">
        <f t="shared" si="23"/>
        <v>37.27</v>
      </c>
      <c r="M61" s="568">
        <f t="shared" si="23"/>
        <v>37.27</v>
      </c>
      <c r="N61" s="568">
        <f t="shared" si="23"/>
        <v>52.17800000000001</v>
      </c>
      <c r="O61" s="568">
        <f t="shared" si="23"/>
        <v>11.181000000000001</v>
      </c>
      <c r="P61" s="568">
        <f t="shared" si="23"/>
        <v>11.181000000000001</v>
      </c>
      <c r="Q61" s="1"/>
      <c r="R61" s="1"/>
      <c r="S61" s="1"/>
      <c r="T61" s="574"/>
    </row>
    <row r="62" spans="1:20" ht="12.75">
      <c r="A62" s="573"/>
      <c r="B62" s="1"/>
      <c r="C62" s="245">
        <f aca="true" t="shared" si="24" ref="C62:P62">C60-C61</f>
        <v>49.675</v>
      </c>
      <c r="D62" s="245">
        <f t="shared" si="24"/>
        <v>82.269</v>
      </c>
      <c r="E62" s="245">
        <f t="shared" si="24"/>
        <v>22.145</v>
      </c>
      <c r="F62" s="245">
        <f t="shared" si="24"/>
        <v>123.58900000000001</v>
      </c>
      <c r="G62" s="245">
        <f t="shared" si="24"/>
        <v>92.52099999999999</v>
      </c>
      <c r="H62" s="245">
        <f t="shared" si="24"/>
        <v>-24.090000000000003</v>
      </c>
      <c r="I62" s="245">
        <f t="shared" si="24"/>
        <v>-5.570000000000004</v>
      </c>
      <c r="J62" s="245">
        <f t="shared" si="24"/>
        <v>-24.556000000000004</v>
      </c>
      <c r="K62" s="245">
        <f t="shared" si="24"/>
        <v>5.2309999999999945</v>
      </c>
      <c r="L62" s="245">
        <f t="shared" si="24"/>
        <v>-18.980000000000004</v>
      </c>
      <c r="M62" s="245">
        <f t="shared" si="24"/>
        <v>8.36</v>
      </c>
      <c r="N62" s="245">
        <f t="shared" si="24"/>
        <v>-33.92800000000001</v>
      </c>
      <c r="O62" s="245">
        <f t="shared" si="24"/>
        <v>-9.981000000000002</v>
      </c>
      <c r="P62" s="245">
        <f t="shared" si="24"/>
        <v>-6.191000000000001</v>
      </c>
      <c r="Q62" s="1"/>
      <c r="R62" s="1"/>
      <c r="S62" s="1"/>
      <c r="T62" s="574"/>
    </row>
    <row r="63" spans="1:20" ht="12.75">
      <c r="A63" s="580" t="s">
        <v>286</v>
      </c>
      <c r="B63" s="81">
        <v>45.69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91"/>
      <c r="R63" s="291"/>
      <c r="S63" s="291"/>
      <c r="T63" s="572">
        <f>(C63*$C$6+D63*$D$6+E63*$E$6+F63*$F$6+G63*$G$6+H63*$H$6+I63*$I$6+J63*$J$6+K63*$K$6+L63*$L$6+M63*$M$6+N63*$N$6+O63*$O$6+P63*$P$6)/100</f>
        <v>0</v>
      </c>
    </row>
    <row r="64" spans="1:20" ht="12.75">
      <c r="A64" s="573"/>
      <c r="B64" s="1"/>
      <c r="C64" s="568">
        <f>$B63*C$6/10</f>
        <v>22.845</v>
      </c>
      <c r="D64" s="568">
        <f aca="true" t="shared" si="25" ref="D64:P64">$B63*D$6/10</f>
        <v>13.706999999999999</v>
      </c>
      <c r="E64" s="568">
        <f t="shared" si="25"/>
        <v>22.845</v>
      </c>
      <c r="F64" s="568">
        <f t="shared" si="25"/>
        <v>13.706999999999999</v>
      </c>
      <c r="G64" s="568">
        <f t="shared" si="25"/>
        <v>31.982999999999997</v>
      </c>
      <c r="H64" s="568">
        <f t="shared" si="25"/>
        <v>45.69</v>
      </c>
      <c r="I64" s="568">
        <f t="shared" si="25"/>
        <v>45.69</v>
      </c>
      <c r="J64" s="568">
        <f t="shared" si="25"/>
        <v>36.552</v>
      </c>
      <c r="K64" s="568">
        <f t="shared" si="25"/>
        <v>31.982999999999997</v>
      </c>
      <c r="L64" s="568">
        <f t="shared" si="25"/>
        <v>45.69</v>
      </c>
      <c r="M64" s="568">
        <f t="shared" si="25"/>
        <v>45.69</v>
      </c>
      <c r="N64" s="568">
        <f t="shared" si="25"/>
        <v>63.965999999999994</v>
      </c>
      <c r="O64" s="568">
        <f t="shared" si="25"/>
        <v>13.706999999999999</v>
      </c>
      <c r="P64" s="568">
        <f t="shared" si="25"/>
        <v>13.706999999999999</v>
      </c>
      <c r="Q64" s="1"/>
      <c r="R64" s="1"/>
      <c r="S64" s="1"/>
      <c r="T64" s="574"/>
    </row>
    <row r="65" spans="1:20" ht="12.75">
      <c r="A65" s="573"/>
      <c r="B65" s="1"/>
      <c r="C65" s="245">
        <f aca="true" t="shared" si="26" ref="C65:P65">C63-C64</f>
        <v>-22.845</v>
      </c>
      <c r="D65" s="245">
        <f t="shared" si="26"/>
        <v>-13.706999999999999</v>
      </c>
      <c r="E65" s="245">
        <f t="shared" si="26"/>
        <v>-22.845</v>
      </c>
      <c r="F65" s="245">
        <f t="shared" si="26"/>
        <v>-13.706999999999999</v>
      </c>
      <c r="G65" s="245">
        <f t="shared" si="26"/>
        <v>-31.982999999999997</v>
      </c>
      <c r="H65" s="245">
        <f t="shared" si="26"/>
        <v>-45.69</v>
      </c>
      <c r="I65" s="245">
        <f t="shared" si="26"/>
        <v>-45.69</v>
      </c>
      <c r="J65" s="245">
        <f t="shared" si="26"/>
        <v>-36.552</v>
      </c>
      <c r="K65" s="245">
        <f t="shared" si="26"/>
        <v>-31.982999999999997</v>
      </c>
      <c r="L65" s="245">
        <f t="shared" si="26"/>
        <v>-45.69</v>
      </c>
      <c r="M65" s="245">
        <f t="shared" si="26"/>
        <v>-45.69</v>
      </c>
      <c r="N65" s="245">
        <f t="shared" si="26"/>
        <v>-63.965999999999994</v>
      </c>
      <c r="O65" s="245">
        <f t="shared" si="26"/>
        <v>-13.706999999999999</v>
      </c>
      <c r="P65" s="245">
        <f t="shared" si="26"/>
        <v>-13.706999999999999</v>
      </c>
      <c r="Q65" s="1"/>
      <c r="R65" s="1"/>
      <c r="S65" s="1"/>
      <c r="T65" s="574"/>
    </row>
    <row r="66" spans="1:20" ht="12.75">
      <c r="A66" s="580" t="s">
        <v>287</v>
      </c>
      <c r="B66" s="81">
        <v>34.78</v>
      </c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91"/>
      <c r="R66" s="291"/>
      <c r="S66" s="291"/>
      <c r="T66" s="572">
        <f>(C66*$C$6+D66*$D$6+E66*$E$6+F66*$F$6+G66*$G$6+H66*$H$6+I66*$I$6+J66*$J$6+K66*$K$6+L66*$L$6+M66*$M$6+N66*$N$6+O66*$O$6+P66*$P$6)/100</f>
        <v>0</v>
      </c>
    </row>
    <row r="67" spans="1:20" ht="12.75">
      <c r="A67" s="573"/>
      <c r="B67" s="1"/>
      <c r="C67" s="568">
        <f>$B66*C$6/10</f>
        <v>17.39</v>
      </c>
      <c r="D67" s="568">
        <f aca="true" t="shared" si="27" ref="D67:P67">$B66*D$6/10</f>
        <v>10.434000000000001</v>
      </c>
      <c r="E67" s="568">
        <f t="shared" si="27"/>
        <v>17.39</v>
      </c>
      <c r="F67" s="568">
        <f t="shared" si="27"/>
        <v>10.434000000000001</v>
      </c>
      <c r="G67" s="568">
        <f t="shared" si="27"/>
        <v>24.346</v>
      </c>
      <c r="H67" s="568">
        <f t="shared" si="27"/>
        <v>34.78</v>
      </c>
      <c r="I67" s="568">
        <f t="shared" si="27"/>
        <v>34.78</v>
      </c>
      <c r="J67" s="568">
        <f t="shared" si="27"/>
        <v>27.824</v>
      </c>
      <c r="K67" s="568">
        <f t="shared" si="27"/>
        <v>24.346</v>
      </c>
      <c r="L67" s="568">
        <f t="shared" si="27"/>
        <v>34.78</v>
      </c>
      <c r="M67" s="568">
        <f t="shared" si="27"/>
        <v>34.78</v>
      </c>
      <c r="N67" s="568">
        <f t="shared" si="27"/>
        <v>48.692</v>
      </c>
      <c r="O67" s="568">
        <f t="shared" si="27"/>
        <v>10.434000000000001</v>
      </c>
      <c r="P67" s="568">
        <f t="shared" si="27"/>
        <v>10.434000000000001</v>
      </c>
      <c r="Q67" s="1"/>
      <c r="R67" s="1"/>
      <c r="S67" s="1"/>
      <c r="T67" s="574"/>
    </row>
    <row r="68" spans="1:20" ht="12.75">
      <c r="A68" s="573"/>
      <c r="B68" s="1"/>
      <c r="C68" s="245">
        <f aca="true" t="shared" si="28" ref="C68:P68">C66-C67</f>
        <v>-17.39</v>
      </c>
      <c r="D68" s="245">
        <f t="shared" si="28"/>
        <v>-10.434000000000001</v>
      </c>
      <c r="E68" s="245">
        <f t="shared" si="28"/>
        <v>-17.39</v>
      </c>
      <c r="F68" s="245">
        <f t="shared" si="28"/>
        <v>-10.434000000000001</v>
      </c>
      <c r="G68" s="245">
        <f t="shared" si="28"/>
        <v>-24.346</v>
      </c>
      <c r="H68" s="245">
        <f t="shared" si="28"/>
        <v>-34.78</v>
      </c>
      <c r="I68" s="245">
        <f t="shared" si="28"/>
        <v>-34.78</v>
      </c>
      <c r="J68" s="245">
        <f t="shared" si="28"/>
        <v>-27.824</v>
      </c>
      <c r="K68" s="245">
        <f t="shared" si="28"/>
        <v>-24.346</v>
      </c>
      <c r="L68" s="245">
        <f t="shared" si="28"/>
        <v>-34.78</v>
      </c>
      <c r="M68" s="245">
        <f t="shared" si="28"/>
        <v>-34.78</v>
      </c>
      <c r="N68" s="245">
        <f t="shared" si="28"/>
        <v>-48.692</v>
      </c>
      <c r="O68" s="245">
        <f t="shared" si="28"/>
        <v>-10.434000000000001</v>
      </c>
      <c r="P68" s="245">
        <f t="shared" si="28"/>
        <v>-10.434000000000001</v>
      </c>
      <c r="Q68" s="1"/>
      <c r="R68" s="1"/>
      <c r="S68" s="1"/>
      <c r="T68" s="574"/>
    </row>
    <row r="69" spans="1:20" ht="12.75">
      <c r="A69" s="580" t="s">
        <v>277</v>
      </c>
      <c r="B69" s="81">
        <v>36.51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91"/>
      <c r="R69" s="291"/>
      <c r="S69" s="291"/>
      <c r="T69" s="572">
        <f>(C69*$C$6+D69*$D$6+E69*$E$6+F69*$F$6+G69*$G$6+H69*$H$6+I69*$I$6+J69*$J$6+K69*$K$6+L69*$L$6+M69*$M$6+N69*$N$6+O69*$O$6+P69*$P$6)/100</f>
        <v>0</v>
      </c>
    </row>
    <row r="70" spans="1:20" ht="12.75">
      <c r="A70" s="573"/>
      <c r="B70" s="1"/>
      <c r="C70" s="568">
        <f>$B69*C$6/10</f>
        <v>18.255</v>
      </c>
      <c r="D70" s="568">
        <f aca="true" t="shared" si="29" ref="D70:P70">$B69*D$6/10</f>
        <v>10.953</v>
      </c>
      <c r="E70" s="568">
        <f t="shared" si="29"/>
        <v>18.255</v>
      </c>
      <c r="F70" s="568">
        <f t="shared" si="29"/>
        <v>10.953</v>
      </c>
      <c r="G70" s="568">
        <f t="shared" si="29"/>
        <v>25.557</v>
      </c>
      <c r="H70" s="568">
        <f t="shared" si="29"/>
        <v>36.51</v>
      </c>
      <c r="I70" s="568">
        <f t="shared" si="29"/>
        <v>36.51</v>
      </c>
      <c r="J70" s="568">
        <f t="shared" si="29"/>
        <v>29.208</v>
      </c>
      <c r="K70" s="568">
        <f t="shared" si="29"/>
        <v>25.557</v>
      </c>
      <c r="L70" s="568">
        <f t="shared" si="29"/>
        <v>36.51</v>
      </c>
      <c r="M70" s="568">
        <f t="shared" si="29"/>
        <v>36.51</v>
      </c>
      <c r="N70" s="568">
        <f t="shared" si="29"/>
        <v>51.114</v>
      </c>
      <c r="O70" s="568">
        <f t="shared" si="29"/>
        <v>10.953</v>
      </c>
      <c r="P70" s="568">
        <f t="shared" si="29"/>
        <v>10.953</v>
      </c>
      <c r="Q70" s="1"/>
      <c r="R70" s="1"/>
      <c r="S70" s="1"/>
      <c r="T70" s="574"/>
    </row>
    <row r="71" spans="1:20" ht="12.75">
      <c r="A71" s="573"/>
      <c r="B71" s="1"/>
      <c r="C71" s="245">
        <f aca="true" t="shared" si="30" ref="C71:P71">C69-C70</f>
        <v>-18.255</v>
      </c>
      <c r="D71" s="245">
        <f t="shared" si="30"/>
        <v>-10.953</v>
      </c>
      <c r="E71" s="245">
        <f t="shared" si="30"/>
        <v>-18.255</v>
      </c>
      <c r="F71" s="245">
        <f t="shared" si="30"/>
        <v>-10.953</v>
      </c>
      <c r="G71" s="245">
        <f t="shared" si="30"/>
        <v>-25.557</v>
      </c>
      <c r="H71" s="245">
        <f t="shared" si="30"/>
        <v>-36.51</v>
      </c>
      <c r="I71" s="245">
        <f t="shared" si="30"/>
        <v>-36.51</v>
      </c>
      <c r="J71" s="245">
        <f t="shared" si="30"/>
        <v>-29.208</v>
      </c>
      <c r="K71" s="245">
        <f t="shared" si="30"/>
        <v>-25.557</v>
      </c>
      <c r="L71" s="245">
        <f t="shared" si="30"/>
        <v>-36.51</v>
      </c>
      <c r="M71" s="245">
        <f t="shared" si="30"/>
        <v>-36.51</v>
      </c>
      <c r="N71" s="245">
        <f t="shared" si="30"/>
        <v>-51.114</v>
      </c>
      <c r="O71" s="245">
        <f t="shared" si="30"/>
        <v>-10.953</v>
      </c>
      <c r="P71" s="245">
        <f t="shared" si="30"/>
        <v>-10.953</v>
      </c>
      <c r="Q71" s="1"/>
      <c r="R71" s="1"/>
      <c r="S71" s="1"/>
      <c r="T71" s="574"/>
    </row>
    <row r="72" spans="1:20" ht="12.75">
      <c r="A72" s="580" t="s">
        <v>276</v>
      </c>
      <c r="B72" s="81">
        <v>19.23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91"/>
      <c r="R72" s="291"/>
      <c r="S72" s="291"/>
      <c r="T72" s="572">
        <f>(C72*$C$6+D72*$D$6+E72*$E$6+F72*$F$6+G72*$G$6+H72*$H$6+I72*$I$6+J72*$J$6+K72*$K$6+L72*$L$6+M72*$M$6+N72*$N$6+O72*$O$6+P72*$P$6)/100</f>
        <v>0</v>
      </c>
    </row>
    <row r="73" spans="1:20" ht="12.75">
      <c r="A73" s="573"/>
      <c r="B73" s="1"/>
      <c r="C73" s="568">
        <f>$B72*C$6/10</f>
        <v>9.615</v>
      </c>
      <c r="D73" s="568">
        <f aca="true" t="shared" si="31" ref="D73:P73">$B72*D$6/10</f>
        <v>5.769</v>
      </c>
      <c r="E73" s="568">
        <f t="shared" si="31"/>
        <v>9.615</v>
      </c>
      <c r="F73" s="568">
        <f t="shared" si="31"/>
        <v>5.769</v>
      </c>
      <c r="G73" s="568">
        <f t="shared" si="31"/>
        <v>13.461000000000002</v>
      </c>
      <c r="H73" s="568">
        <f t="shared" si="31"/>
        <v>19.23</v>
      </c>
      <c r="I73" s="568">
        <f t="shared" si="31"/>
        <v>19.23</v>
      </c>
      <c r="J73" s="568">
        <f t="shared" si="31"/>
        <v>15.384</v>
      </c>
      <c r="K73" s="568">
        <f t="shared" si="31"/>
        <v>13.461000000000002</v>
      </c>
      <c r="L73" s="568">
        <f t="shared" si="31"/>
        <v>19.23</v>
      </c>
      <c r="M73" s="568">
        <f t="shared" si="31"/>
        <v>19.23</v>
      </c>
      <c r="N73" s="568">
        <f t="shared" si="31"/>
        <v>26.922000000000004</v>
      </c>
      <c r="O73" s="568">
        <f t="shared" si="31"/>
        <v>5.769</v>
      </c>
      <c r="P73" s="568">
        <f t="shared" si="31"/>
        <v>5.769</v>
      </c>
      <c r="Q73" s="1"/>
      <c r="R73" s="1"/>
      <c r="S73" s="1"/>
      <c r="T73" s="574"/>
    </row>
    <row r="74" spans="1:20" ht="12.75">
      <c r="A74" s="573"/>
      <c r="B74" s="1"/>
      <c r="C74" s="245">
        <f aca="true" t="shared" si="32" ref="C74:P74">C72-C73</f>
        <v>-9.615</v>
      </c>
      <c r="D74" s="245">
        <f t="shared" si="32"/>
        <v>-5.769</v>
      </c>
      <c r="E74" s="245">
        <f t="shared" si="32"/>
        <v>-9.615</v>
      </c>
      <c r="F74" s="245">
        <f t="shared" si="32"/>
        <v>-5.769</v>
      </c>
      <c r="G74" s="245">
        <f t="shared" si="32"/>
        <v>-13.461000000000002</v>
      </c>
      <c r="H74" s="245">
        <f t="shared" si="32"/>
        <v>-19.23</v>
      </c>
      <c r="I74" s="245">
        <f t="shared" si="32"/>
        <v>-19.23</v>
      </c>
      <c r="J74" s="245">
        <f t="shared" si="32"/>
        <v>-15.384</v>
      </c>
      <c r="K74" s="245">
        <f t="shared" si="32"/>
        <v>-13.461000000000002</v>
      </c>
      <c r="L74" s="245">
        <f t="shared" si="32"/>
        <v>-19.23</v>
      </c>
      <c r="M74" s="245">
        <f t="shared" si="32"/>
        <v>-19.23</v>
      </c>
      <c r="N74" s="245">
        <f t="shared" si="32"/>
        <v>-26.922000000000004</v>
      </c>
      <c r="O74" s="245">
        <f t="shared" si="32"/>
        <v>-5.769</v>
      </c>
      <c r="P74" s="245">
        <f t="shared" si="32"/>
        <v>-5.769</v>
      </c>
      <c r="Q74" s="1"/>
      <c r="R74" s="1"/>
      <c r="S74" s="1"/>
      <c r="T74" s="574"/>
    </row>
    <row r="75" spans="1:20" ht="12.75">
      <c r="A75" s="580"/>
      <c r="B75" s="81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91"/>
      <c r="R75" s="291"/>
      <c r="S75" s="291"/>
      <c r="T75" s="572">
        <f>(C75*$C$6+D75*$D$6+E75*$E$6+F75*$F$6+G75*$G$6+H75*$H$6+I75*$I$6+J75*$J$6+K75*$K$6+L75*$L$6+M75*$M$6+N75*$N$6+O75*$O$6+P75*$P$6)/100</f>
        <v>0</v>
      </c>
    </row>
    <row r="76" spans="1:20" ht="12.75">
      <c r="A76" s="573"/>
      <c r="B76" s="1"/>
      <c r="C76" s="568">
        <f>$B75*C$6/10</f>
        <v>0</v>
      </c>
      <c r="D76" s="568">
        <f aca="true" t="shared" si="33" ref="D76:P76">$B75*D$6/10</f>
        <v>0</v>
      </c>
      <c r="E76" s="568">
        <f t="shared" si="33"/>
        <v>0</v>
      </c>
      <c r="F76" s="568">
        <f t="shared" si="33"/>
        <v>0</v>
      </c>
      <c r="G76" s="568">
        <f t="shared" si="33"/>
        <v>0</v>
      </c>
      <c r="H76" s="568">
        <f t="shared" si="33"/>
        <v>0</v>
      </c>
      <c r="I76" s="568">
        <f t="shared" si="33"/>
        <v>0</v>
      </c>
      <c r="J76" s="568">
        <f t="shared" si="33"/>
        <v>0</v>
      </c>
      <c r="K76" s="568">
        <f t="shared" si="33"/>
        <v>0</v>
      </c>
      <c r="L76" s="568">
        <f t="shared" si="33"/>
        <v>0</v>
      </c>
      <c r="M76" s="568">
        <f t="shared" si="33"/>
        <v>0</v>
      </c>
      <c r="N76" s="568">
        <f t="shared" si="33"/>
        <v>0</v>
      </c>
      <c r="O76" s="568">
        <f t="shared" si="33"/>
        <v>0</v>
      </c>
      <c r="P76" s="568">
        <f t="shared" si="33"/>
        <v>0</v>
      </c>
      <c r="Q76" s="1"/>
      <c r="R76" s="1"/>
      <c r="S76" s="1"/>
      <c r="T76" s="574"/>
    </row>
    <row r="77" spans="1:20" ht="13.5" thickBot="1">
      <c r="A77" s="369"/>
      <c r="B77" s="576"/>
      <c r="C77" s="577">
        <f aca="true" t="shared" si="34" ref="C77:P77">C75-C76</f>
        <v>0</v>
      </c>
      <c r="D77" s="577">
        <f t="shared" si="34"/>
        <v>0</v>
      </c>
      <c r="E77" s="577">
        <f t="shared" si="34"/>
        <v>0</v>
      </c>
      <c r="F77" s="577">
        <f t="shared" si="34"/>
        <v>0</v>
      </c>
      <c r="G77" s="577">
        <f t="shared" si="34"/>
        <v>0</v>
      </c>
      <c r="H77" s="577">
        <f t="shared" si="34"/>
        <v>0</v>
      </c>
      <c r="I77" s="577">
        <f t="shared" si="34"/>
        <v>0</v>
      </c>
      <c r="J77" s="577">
        <f t="shared" si="34"/>
        <v>0</v>
      </c>
      <c r="K77" s="577">
        <f t="shared" si="34"/>
        <v>0</v>
      </c>
      <c r="L77" s="577">
        <f t="shared" si="34"/>
        <v>0</v>
      </c>
      <c r="M77" s="577">
        <f t="shared" si="34"/>
        <v>0</v>
      </c>
      <c r="N77" s="577">
        <f t="shared" si="34"/>
        <v>0</v>
      </c>
      <c r="O77" s="577">
        <f t="shared" si="34"/>
        <v>0</v>
      </c>
      <c r="P77" s="577">
        <f t="shared" si="34"/>
        <v>0</v>
      </c>
      <c r="Q77" s="576"/>
      <c r="R77" s="576"/>
      <c r="S77" s="576"/>
      <c r="T77" s="578"/>
    </row>
    <row r="78" ht="13.5" thickBot="1"/>
    <row r="79" spans="1:20" ht="13.5" thickBot="1">
      <c r="A79" s="569" t="s">
        <v>403</v>
      </c>
      <c r="B79" s="570"/>
      <c r="C79" s="586" t="s">
        <v>55</v>
      </c>
      <c r="D79" s="586" t="s">
        <v>35</v>
      </c>
      <c r="E79" s="586" t="s">
        <v>56</v>
      </c>
      <c r="F79" s="586" t="s">
        <v>169</v>
      </c>
      <c r="G79" s="586" t="s">
        <v>29</v>
      </c>
      <c r="H79" s="586" t="s">
        <v>170</v>
      </c>
      <c r="I79" s="586" t="s">
        <v>177</v>
      </c>
      <c r="J79" s="586" t="s">
        <v>178</v>
      </c>
      <c r="K79" s="586" t="s">
        <v>60</v>
      </c>
      <c r="L79" s="586" t="s">
        <v>34</v>
      </c>
      <c r="M79" s="586" t="s">
        <v>61</v>
      </c>
      <c r="N79" s="586" t="s">
        <v>30</v>
      </c>
      <c r="O79" s="586" t="s">
        <v>179</v>
      </c>
      <c r="P79" s="586" t="s">
        <v>182</v>
      </c>
      <c r="Q79" s="585"/>
      <c r="R79" s="585"/>
      <c r="S79" s="585"/>
      <c r="T79" s="587"/>
    </row>
    <row r="80" spans="1:20" ht="12.75">
      <c r="A80" s="571" t="s">
        <v>285</v>
      </c>
      <c r="B80" s="81">
        <v>38.93</v>
      </c>
      <c r="C80" s="245">
        <v>23.41</v>
      </c>
      <c r="D80" s="245">
        <v>135.84</v>
      </c>
      <c r="E80" s="245">
        <v>84.93</v>
      </c>
      <c r="F80" s="245">
        <v>93.84</v>
      </c>
      <c r="G80" s="245">
        <v>29.88</v>
      </c>
      <c r="H80" s="245">
        <v>64.11</v>
      </c>
      <c r="I80" s="245">
        <v>34.93</v>
      </c>
      <c r="J80" s="245">
        <v>8.09</v>
      </c>
      <c r="K80" s="245">
        <v>36.96</v>
      </c>
      <c r="L80" s="245">
        <v>18.29</v>
      </c>
      <c r="M80" s="245">
        <v>44.62</v>
      </c>
      <c r="N80" s="245">
        <v>18.25</v>
      </c>
      <c r="O80" s="245">
        <v>53.5</v>
      </c>
      <c r="P80" s="245">
        <v>12.24</v>
      </c>
      <c r="Q80" s="291"/>
      <c r="R80" s="291"/>
      <c r="S80" s="291"/>
      <c r="T80" s="572">
        <f>(C80*$C$4+D80*$D$4+E80*$E$4+F80*$F$4+G80*$G$4+H80*$H$4+I80*$I$4+J80*$J$4+K80*$K$4+L80*$L$4+M80*$M$4+N80*$N$4+O80*$O$4+P80*$P$4)/100</f>
        <v>38.9433</v>
      </c>
    </row>
    <row r="81" spans="1:20" ht="12.75">
      <c r="A81" s="573"/>
      <c r="B81" s="1"/>
      <c r="C81" s="568">
        <f>$B80*C$4/10</f>
        <v>11.678999999999998</v>
      </c>
      <c r="D81" s="568">
        <f aca="true" t="shared" si="35" ref="D81:P81">$B80*D$4/10</f>
        <v>19.465</v>
      </c>
      <c r="E81" s="568">
        <f t="shared" si="35"/>
        <v>11.678999999999998</v>
      </c>
      <c r="F81" s="568">
        <f t="shared" si="35"/>
        <v>27.250999999999998</v>
      </c>
      <c r="G81" s="568">
        <f t="shared" si="35"/>
        <v>11.678999999999998</v>
      </c>
      <c r="H81" s="568">
        <f t="shared" si="35"/>
        <v>19.465</v>
      </c>
      <c r="I81" s="568">
        <f t="shared" si="35"/>
        <v>31.144</v>
      </c>
      <c r="J81" s="568">
        <f t="shared" si="35"/>
        <v>38.93</v>
      </c>
      <c r="K81" s="568">
        <f t="shared" si="35"/>
        <v>27.250999999999998</v>
      </c>
      <c r="L81" s="568">
        <f t="shared" si="35"/>
        <v>58.395</v>
      </c>
      <c r="M81" s="568">
        <f t="shared" si="35"/>
        <v>38.93</v>
      </c>
      <c r="N81" s="568">
        <f t="shared" si="35"/>
        <v>50.608999999999995</v>
      </c>
      <c r="O81" s="568">
        <f t="shared" si="35"/>
        <v>11.678999999999998</v>
      </c>
      <c r="P81" s="568">
        <f t="shared" si="35"/>
        <v>27.250999999999998</v>
      </c>
      <c r="Q81" s="1"/>
      <c r="R81" s="1"/>
      <c r="S81" s="1"/>
      <c r="T81" s="574"/>
    </row>
    <row r="82" spans="1:20" ht="12.75">
      <c r="A82" s="573"/>
      <c r="B82" s="1"/>
      <c r="C82" s="245">
        <f aca="true" t="shared" si="36" ref="C82:P82">C80-C81</f>
        <v>11.731000000000002</v>
      </c>
      <c r="D82" s="245">
        <f t="shared" si="36"/>
        <v>116.375</v>
      </c>
      <c r="E82" s="245">
        <f t="shared" si="36"/>
        <v>73.251</v>
      </c>
      <c r="F82" s="245">
        <f t="shared" si="36"/>
        <v>66.589</v>
      </c>
      <c r="G82" s="245">
        <f t="shared" si="36"/>
        <v>18.201</v>
      </c>
      <c r="H82" s="245">
        <f t="shared" si="36"/>
        <v>44.644999999999996</v>
      </c>
      <c r="I82" s="245">
        <f t="shared" si="36"/>
        <v>3.7860000000000014</v>
      </c>
      <c r="J82" s="245">
        <f t="shared" si="36"/>
        <v>-30.84</v>
      </c>
      <c r="K82" s="245">
        <f t="shared" si="36"/>
        <v>9.709000000000003</v>
      </c>
      <c r="L82" s="245">
        <f t="shared" si="36"/>
        <v>-40.105000000000004</v>
      </c>
      <c r="M82" s="245">
        <f t="shared" si="36"/>
        <v>5.689999999999998</v>
      </c>
      <c r="N82" s="245">
        <f t="shared" si="36"/>
        <v>-32.358999999999995</v>
      </c>
      <c r="O82" s="245">
        <f t="shared" si="36"/>
        <v>41.821</v>
      </c>
      <c r="P82" s="245">
        <f t="shared" si="36"/>
        <v>-15.010999999999997</v>
      </c>
      <c r="Q82" s="1"/>
      <c r="R82" s="1"/>
      <c r="S82" s="1"/>
      <c r="T82" s="574"/>
    </row>
    <row r="83" spans="1:20" ht="12.75">
      <c r="A83" s="571" t="s">
        <v>284</v>
      </c>
      <c r="B83" s="11">
        <v>36.95</v>
      </c>
      <c r="C83" s="245">
        <v>7.31</v>
      </c>
      <c r="D83" s="245">
        <v>65.17</v>
      </c>
      <c r="E83" s="245">
        <v>47.5</v>
      </c>
      <c r="F83" s="245">
        <v>54.91</v>
      </c>
      <c r="G83" s="245">
        <v>19.32</v>
      </c>
      <c r="H83" s="245">
        <v>33.11</v>
      </c>
      <c r="I83" s="245">
        <v>39.89</v>
      </c>
      <c r="J83" s="245">
        <v>22.93</v>
      </c>
      <c r="K83" s="245">
        <v>51.04</v>
      </c>
      <c r="L83" s="245">
        <v>44.65</v>
      </c>
      <c r="M83" s="245">
        <v>24.44</v>
      </c>
      <c r="N83" s="245">
        <v>50.02</v>
      </c>
      <c r="O83" s="245">
        <v>28.77</v>
      </c>
      <c r="P83" s="245">
        <v>4.14</v>
      </c>
      <c r="Q83" s="291"/>
      <c r="R83" s="291"/>
      <c r="S83" s="291"/>
      <c r="T83" s="572">
        <f>(C83*$C$4+D83*$D$4+E83*$E$4+F83*$F$4+G83*$G$4+H83*$H$4+I83*$I$4+J83*$J$4+K83*$K$4+L83*$L$4+M83*$M$4+N83*$N$4+O83*$O$4+P83*$P$4)/100</f>
        <v>36.83560000000001</v>
      </c>
    </row>
    <row r="84" spans="1:20" ht="12.75">
      <c r="A84" s="573"/>
      <c r="B84" s="1"/>
      <c r="C84" s="568">
        <f>$B83*C$4/10</f>
        <v>11.085</v>
      </c>
      <c r="D84" s="568">
        <f>$B83*D$4/10</f>
        <v>18.475</v>
      </c>
      <c r="E84" s="568">
        <f>$B83*E$4/10</f>
        <v>11.085</v>
      </c>
      <c r="F84" s="568">
        <f>$B83*F$4/10</f>
        <v>25.865000000000002</v>
      </c>
      <c r="G84" s="568">
        <f>$B83*G$4/10</f>
        <v>11.085</v>
      </c>
      <c r="H84" s="568">
        <f>$B83*H$4/10</f>
        <v>18.475</v>
      </c>
      <c r="I84" s="568">
        <f>$B83*I$4/10</f>
        <v>29.560000000000002</v>
      </c>
      <c r="J84" s="568">
        <f>$B83*J$4/10</f>
        <v>36.95</v>
      </c>
      <c r="K84" s="568">
        <f>$B83*K$4/10</f>
        <v>25.865000000000002</v>
      </c>
      <c r="L84" s="568">
        <f>$B83*L$4/10</f>
        <v>55.425</v>
      </c>
      <c r="M84" s="568">
        <f>$B83*M$4/10</f>
        <v>36.95</v>
      </c>
      <c r="N84" s="568">
        <f>$B83*N$4/10</f>
        <v>48.035000000000004</v>
      </c>
      <c r="O84" s="568">
        <f>$B83*O$4/10</f>
        <v>11.085</v>
      </c>
      <c r="P84" s="568">
        <f>$B83*P$4/10</f>
        <v>25.865000000000002</v>
      </c>
      <c r="Q84" s="1"/>
      <c r="R84" s="1"/>
      <c r="S84" s="1"/>
      <c r="T84" s="574"/>
    </row>
    <row r="85" spans="1:20" ht="12.75">
      <c r="A85" s="573"/>
      <c r="B85" s="1"/>
      <c r="C85" s="245">
        <f aca="true" t="shared" si="37" ref="C85:P85">C83-C84</f>
        <v>-3.7750000000000012</v>
      </c>
      <c r="D85" s="245">
        <f t="shared" si="37"/>
        <v>46.695</v>
      </c>
      <c r="E85" s="245">
        <f t="shared" si="37"/>
        <v>36.415</v>
      </c>
      <c r="F85" s="245">
        <f t="shared" si="37"/>
        <v>29.044999999999995</v>
      </c>
      <c r="G85" s="245">
        <f t="shared" si="37"/>
        <v>8.235</v>
      </c>
      <c r="H85" s="245">
        <f t="shared" si="37"/>
        <v>14.634999999999998</v>
      </c>
      <c r="I85" s="245">
        <f t="shared" si="37"/>
        <v>10.329999999999998</v>
      </c>
      <c r="J85" s="245">
        <f t="shared" si="37"/>
        <v>-14.020000000000003</v>
      </c>
      <c r="K85" s="245">
        <f t="shared" si="37"/>
        <v>25.174999999999997</v>
      </c>
      <c r="L85" s="245">
        <f t="shared" si="37"/>
        <v>-10.774999999999999</v>
      </c>
      <c r="M85" s="245">
        <f t="shared" si="37"/>
        <v>-12.510000000000002</v>
      </c>
      <c r="N85" s="245">
        <f t="shared" si="37"/>
        <v>1.9849999999999994</v>
      </c>
      <c r="O85" s="245">
        <f t="shared" si="37"/>
        <v>17.685</v>
      </c>
      <c r="P85" s="245">
        <f t="shared" si="37"/>
        <v>-21.725</v>
      </c>
      <c r="Q85" s="1"/>
      <c r="R85" s="1"/>
      <c r="S85" s="1"/>
      <c r="T85" s="574"/>
    </row>
    <row r="86" spans="1:20" ht="12.75">
      <c r="A86" s="575" t="s">
        <v>237</v>
      </c>
      <c r="B86" s="11">
        <v>25.09</v>
      </c>
      <c r="C86" s="245">
        <v>17.17</v>
      </c>
      <c r="D86" s="245">
        <v>40.98</v>
      </c>
      <c r="E86" s="245">
        <v>35.6</v>
      </c>
      <c r="F86" s="245">
        <v>39.47</v>
      </c>
      <c r="G86" s="245">
        <v>28.97</v>
      </c>
      <c r="H86" s="245">
        <v>16.32</v>
      </c>
      <c r="I86" s="245">
        <v>22.51</v>
      </c>
      <c r="J86" s="245">
        <v>15.64</v>
      </c>
      <c r="K86" s="245">
        <v>20.79</v>
      </c>
      <c r="L86" s="245">
        <v>34.93</v>
      </c>
      <c r="M86" s="245">
        <v>22.48</v>
      </c>
      <c r="N86" s="245">
        <v>32.02</v>
      </c>
      <c r="O86" s="245">
        <v>6.15</v>
      </c>
      <c r="P86" s="245">
        <v>3.42</v>
      </c>
      <c r="Q86" s="291"/>
      <c r="R86" s="291"/>
      <c r="S86" s="291"/>
      <c r="T86" s="572">
        <f>(C86*$C$4+D86*$D$4+E86*$E$4+F86*$F$4+G86*$G$4+H86*$H$4+I86*$I$4+J86*$J$4+K86*$K$4+L86*$L$4+M86*$M$4+N86*$N$4+O86*$O$4+P86*$P$4)/100</f>
        <v>24.9742</v>
      </c>
    </row>
    <row r="87" spans="1:20" ht="12.75">
      <c r="A87" s="573"/>
      <c r="B87" s="1"/>
      <c r="C87" s="568">
        <f>$B86*C$4/10</f>
        <v>7.526999999999999</v>
      </c>
      <c r="D87" s="568">
        <f>$B86*D$4/10</f>
        <v>12.545</v>
      </c>
      <c r="E87" s="568">
        <f>$B86*E$4/10</f>
        <v>7.526999999999999</v>
      </c>
      <c r="F87" s="568">
        <f>$B86*F$4/10</f>
        <v>17.563</v>
      </c>
      <c r="G87" s="568">
        <f>$B86*G$4/10</f>
        <v>7.526999999999999</v>
      </c>
      <c r="H87" s="568">
        <f>$B86*H$4/10</f>
        <v>12.545</v>
      </c>
      <c r="I87" s="568">
        <f>$B86*I$4/10</f>
        <v>20.072</v>
      </c>
      <c r="J87" s="568">
        <f>$B86*J$4/10</f>
        <v>25.09</v>
      </c>
      <c r="K87" s="568">
        <f>$B86*K$4/10</f>
        <v>17.563</v>
      </c>
      <c r="L87" s="568">
        <f>$B86*L$4/10</f>
        <v>37.635000000000005</v>
      </c>
      <c r="M87" s="568">
        <f>$B86*M$4/10</f>
        <v>25.09</v>
      </c>
      <c r="N87" s="568">
        <f>$B86*N$4/10</f>
        <v>32.617000000000004</v>
      </c>
      <c r="O87" s="568">
        <f>$B86*O$4/10</f>
        <v>7.526999999999999</v>
      </c>
      <c r="P87" s="568">
        <f>$B86*P$4/10</f>
        <v>17.563</v>
      </c>
      <c r="Q87" s="1"/>
      <c r="R87" s="1"/>
      <c r="S87" s="1"/>
      <c r="T87" s="574"/>
    </row>
    <row r="88" spans="1:20" ht="12.75">
      <c r="A88" s="573"/>
      <c r="B88" s="1"/>
      <c r="C88" s="245">
        <f aca="true" t="shared" si="38" ref="C88:P88">C86-C87</f>
        <v>9.643000000000002</v>
      </c>
      <c r="D88" s="245">
        <f t="shared" si="38"/>
        <v>28.434999999999995</v>
      </c>
      <c r="E88" s="245">
        <f t="shared" si="38"/>
        <v>28.073</v>
      </c>
      <c r="F88" s="245">
        <f t="shared" si="38"/>
        <v>21.907</v>
      </c>
      <c r="G88" s="245">
        <f t="shared" si="38"/>
        <v>21.442999999999998</v>
      </c>
      <c r="H88" s="245">
        <f t="shared" si="38"/>
        <v>3.7750000000000004</v>
      </c>
      <c r="I88" s="245">
        <f t="shared" si="38"/>
        <v>2.4380000000000024</v>
      </c>
      <c r="J88" s="245">
        <f t="shared" si="38"/>
        <v>-9.45</v>
      </c>
      <c r="K88" s="245">
        <f t="shared" si="38"/>
        <v>3.2270000000000003</v>
      </c>
      <c r="L88" s="245">
        <f t="shared" si="38"/>
        <v>-2.7050000000000054</v>
      </c>
      <c r="M88" s="245">
        <f t="shared" si="38"/>
        <v>-2.6099999999999994</v>
      </c>
      <c r="N88" s="245">
        <f t="shared" si="38"/>
        <v>-0.5970000000000013</v>
      </c>
      <c r="O88" s="245">
        <f t="shared" si="38"/>
        <v>-1.376999999999999</v>
      </c>
      <c r="P88" s="245">
        <f t="shared" si="38"/>
        <v>-14.142999999999999</v>
      </c>
      <c r="Q88" s="1"/>
      <c r="R88" s="1"/>
      <c r="S88" s="1"/>
      <c r="T88" s="574"/>
    </row>
    <row r="89" spans="1:20" ht="12.75">
      <c r="A89" s="571" t="s">
        <v>272</v>
      </c>
      <c r="B89" s="11">
        <v>7.12</v>
      </c>
      <c r="C89" s="245">
        <v>8.52</v>
      </c>
      <c r="D89" s="245">
        <v>7.23</v>
      </c>
      <c r="E89" s="245">
        <v>7.23</v>
      </c>
      <c r="F89" s="245">
        <v>9.71</v>
      </c>
      <c r="G89" s="245">
        <v>11.69</v>
      </c>
      <c r="H89" s="245">
        <v>3.02</v>
      </c>
      <c r="I89" s="245">
        <v>5.24</v>
      </c>
      <c r="J89" s="245">
        <v>6.38</v>
      </c>
      <c r="K89" s="245">
        <v>9.68</v>
      </c>
      <c r="L89" s="245">
        <v>9.41</v>
      </c>
      <c r="M89" s="245">
        <v>8.25</v>
      </c>
      <c r="N89" s="245">
        <v>7.51</v>
      </c>
      <c r="O89" s="245">
        <v>1.43</v>
      </c>
      <c r="P89" s="245">
        <v>1.64</v>
      </c>
      <c r="Q89" s="245"/>
      <c r="R89" s="245"/>
      <c r="S89" s="245"/>
      <c r="T89" s="572">
        <f>(C89*$C$4+D89*$D$4+E89*$E$4+F89*$F$4+G89*$G$4+H89*$H$4+I89*$I$4+J89*$J$4+K89*$K$4+L89*$L$4+M89*$M$4+N89*$N$4+O89*$O$4+P89*$P$4)/100</f>
        <v>7.120699999999999</v>
      </c>
    </row>
    <row r="90" spans="1:20" ht="12.75">
      <c r="A90" s="573"/>
      <c r="B90" s="1"/>
      <c r="C90" s="568">
        <f>$B89*C$4/10</f>
        <v>2.136</v>
      </c>
      <c r="D90" s="568">
        <f>$B89*D$4/10</f>
        <v>3.56</v>
      </c>
      <c r="E90" s="568">
        <f>$B89*E$4/10</f>
        <v>2.136</v>
      </c>
      <c r="F90" s="568">
        <f>$B89*F$4/10</f>
        <v>4.984</v>
      </c>
      <c r="G90" s="568">
        <f>$B89*G$4/10</f>
        <v>2.136</v>
      </c>
      <c r="H90" s="568">
        <f>$B89*H$4/10</f>
        <v>3.56</v>
      </c>
      <c r="I90" s="568">
        <f>$B89*I$4/10</f>
        <v>5.696</v>
      </c>
      <c r="J90" s="568">
        <f>$B89*J$4/10</f>
        <v>7.12</v>
      </c>
      <c r="K90" s="568">
        <f>$B89*K$4/10</f>
        <v>4.984</v>
      </c>
      <c r="L90" s="568">
        <f>$B89*L$4/10</f>
        <v>10.68</v>
      </c>
      <c r="M90" s="568">
        <f>$B89*M$4/10</f>
        <v>7.12</v>
      </c>
      <c r="N90" s="568">
        <f>$B89*N$4/10</f>
        <v>9.256</v>
      </c>
      <c r="O90" s="568">
        <f>$B89*O$4/10</f>
        <v>2.136</v>
      </c>
      <c r="P90" s="568">
        <f>$B89*P$4/10</f>
        <v>4.984</v>
      </c>
      <c r="Q90" s="1"/>
      <c r="R90" s="1"/>
      <c r="S90" s="1"/>
      <c r="T90" s="574"/>
    </row>
    <row r="91" spans="1:20" ht="13.5" thickBot="1">
      <c r="A91" s="369"/>
      <c r="B91" s="576"/>
      <c r="C91" s="577">
        <f aca="true" t="shared" si="39" ref="C91:P91">C89-C90</f>
        <v>6.3839999999999995</v>
      </c>
      <c r="D91" s="577">
        <f t="shared" si="39"/>
        <v>3.6700000000000004</v>
      </c>
      <c r="E91" s="577">
        <f t="shared" si="39"/>
        <v>5.094</v>
      </c>
      <c r="F91" s="577">
        <f t="shared" si="39"/>
        <v>4.726000000000001</v>
      </c>
      <c r="G91" s="577">
        <f t="shared" si="39"/>
        <v>9.553999999999998</v>
      </c>
      <c r="H91" s="577">
        <f t="shared" si="39"/>
        <v>-0.54</v>
      </c>
      <c r="I91" s="577">
        <f t="shared" si="39"/>
        <v>-0.4559999999999995</v>
      </c>
      <c r="J91" s="577">
        <f t="shared" si="39"/>
        <v>-0.7400000000000002</v>
      </c>
      <c r="K91" s="577">
        <f t="shared" si="39"/>
        <v>4.696</v>
      </c>
      <c r="L91" s="577">
        <f t="shared" si="39"/>
        <v>-1.2699999999999996</v>
      </c>
      <c r="M91" s="577">
        <f t="shared" si="39"/>
        <v>1.13</v>
      </c>
      <c r="N91" s="577">
        <f t="shared" si="39"/>
        <v>-1.7460000000000004</v>
      </c>
      <c r="O91" s="577">
        <f t="shared" si="39"/>
        <v>-0.7060000000000002</v>
      </c>
      <c r="P91" s="577">
        <f t="shared" si="39"/>
        <v>-3.3440000000000003</v>
      </c>
      <c r="Q91" s="576"/>
      <c r="R91" s="576"/>
      <c r="S91" s="576"/>
      <c r="T91" s="578"/>
    </row>
  </sheetData>
  <sheetProtection/>
  <mergeCells count="16">
    <mergeCell ref="Q13:T14"/>
    <mergeCell ref="Q11:T12"/>
    <mergeCell ref="Q10:T10"/>
    <mergeCell ref="Q15:T17"/>
    <mergeCell ref="C15:E15"/>
    <mergeCell ref="B15:B17"/>
    <mergeCell ref="B11:B12"/>
    <mergeCell ref="B13:B14"/>
    <mergeCell ref="C16:E16"/>
    <mergeCell ref="C17:E17"/>
    <mergeCell ref="C9:E9"/>
    <mergeCell ref="C10:E10"/>
    <mergeCell ref="C11:E11"/>
    <mergeCell ref="C12:E12"/>
    <mergeCell ref="C13:E13"/>
    <mergeCell ref="C14:E14"/>
  </mergeCells>
  <conditionalFormatting sqref="C62:P64 C82:P82 C85:P85 C88:P88 C91:P91 C28:P28 C31:P31 C25:P25 C48:P48 C34:P34 C36:P37 C39:P40 C42:P44 C51:P51 C53:P54">
    <cfRule type="cellIs" priority="19" dxfId="0" operator="lessThanOrEqual" stopIfTrue="1">
      <formula>-10</formula>
    </cfRule>
  </conditionalFormatting>
  <conditionalFormatting sqref="C57:P57">
    <cfRule type="cellIs" priority="6" dxfId="0" operator="lessThanOrEqual" stopIfTrue="1">
      <formula>-10</formula>
    </cfRule>
  </conditionalFormatting>
  <conditionalFormatting sqref="C65:P65">
    <cfRule type="cellIs" priority="5" dxfId="0" operator="lessThanOrEqual" stopIfTrue="1">
      <formula>-10</formula>
    </cfRule>
  </conditionalFormatting>
  <conditionalFormatting sqref="C68:P68">
    <cfRule type="cellIs" priority="4" dxfId="0" operator="lessThanOrEqual" stopIfTrue="1">
      <formula>-10</formula>
    </cfRule>
  </conditionalFormatting>
  <conditionalFormatting sqref="C71:P71">
    <cfRule type="cellIs" priority="3" dxfId="0" operator="lessThanOrEqual" stopIfTrue="1">
      <formula>-10</formula>
    </cfRule>
  </conditionalFormatting>
  <conditionalFormatting sqref="C74:P74">
    <cfRule type="cellIs" priority="2" dxfId="0" operator="lessThanOrEqual" stopIfTrue="1">
      <formula>-10</formula>
    </cfRule>
  </conditionalFormatting>
  <conditionalFormatting sqref="C77:P77">
    <cfRule type="cellIs" priority="1" dxfId="0" operator="lessThanOrEqual" stopIfTrue="1">
      <formula>-10</formula>
    </cfRule>
  </conditionalFormatting>
  <hyperlinks>
    <hyperlink ref="C1" r:id="rId1" display="http://www.handmanager.com/ClubHouse.php?page=equipe_effectif.php&amp;name=09901c3b2379d481b29cff4dbf23f512"/>
    <hyperlink ref="D1" r:id="rId2" display="http://www.handmanager.com/ClubHouse.php?page=equipe_effectif.php&amp;name=09901c3b2379d481b29cff4dbf23f512"/>
    <hyperlink ref="E1" r:id="rId3" display="http://www.handmanager.com/ClubHouse.php?page=equipe_effectif.php&amp;name=09901c3b2379d481b29cff4dbf23f512"/>
    <hyperlink ref="F1" r:id="rId4" display="http://www.handmanager.com/ClubHouse.php?page=equipe_effectif.php&amp;name=09901c3b2379d481b29cff4dbf23f512"/>
    <hyperlink ref="G1" r:id="rId5" display="http://www.handmanager.com/ClubHouse.php?page=equipe_effectif.php&amp;name=09901c3b2379d481b29cff4dbf23f512"/>
    <hyperlink ref="H1" r:id="rId6" display="http://www.handmanager.com/ClubHouse.php?page=equipe_effectif.php&amp;name=09901c3b2379d481b29cff4dbf23f512"/>
    <hyperlink ref="I1" r:id="rId7" display="http://www.handmanager.com/ClubHouse.php?page=equipe_effectif.php&amp;name=09901c3b2379d481b29cff4dbf23f512"/>
    <hyperlink ref="J1" r:id="rId8" display="http://www.handmanager.com/ClubHouse.php?page=equipe_effectif.php&amp;name=09901c3b2379d481b29cff4dbf23f512"/>
    <hyperlink ref="K1" r:id="rId9" display="http://www.handmanager.com/ClubHouse.php?page=equipe_effectif.php&amp;name=09901c3b2379d481b29cff4dbf23f512"/>
    <hyperlink ref="L1" r:id="rId10" display="http://www.handmanager.com/ClubHouse.php?page=equipe_effectif.php&amp;name=09901c3b2379d481b29cff4dbf23f512"/>
    <hyperlink ref="M1" r:id="rId11" display="http://www.handmanager.com/ClubHouse.php?page=equipe_effectif.php&amp;name=09901c3b2379d481b29cff4dbf23f512"/>
    <hyperlink ref="N1" r:id="rId12" display="http://www.handmanager.com/ClubHouse.php?page=equipe_effectif.php&amp;name=09901c3b2379d481b29cff4dbf23f512"/>
    <hyperlink ref="O1" r:id="rId13" display="http://www.handmanager.com/ClubHouse.php?page=equipe_effectif.php&amp;name=09901c3b2379d481b29cff4dbf23f512"/>
    <hyperlink ref="P1" r:id="rId14" display="http://www.handmanager.com/ClubHouse.php?page=equipe_effectif.php&amp;name=09901c3b2379d481b29cff4dbf23f512"/>
    <hyperlink ref="Q1" r:id="rId15" display="http://www.handmanager.com/ClubHouse.php?page=equipe_effectif.php&amp;name=09901c3b2379d481b29cff4dbf23f512"/>
    <hyperlink ref="R1" r:id="rId16" display="http://www.handmanager.com/ClubHouse.php?page=equipe_effectif.php&amp;name=09901c3b2379d481b29cff4dbf23f512"/>
    <hyperlink ref="S1" r:id="rId17" display="http://www.handmanager.com/ClubHouse.php?page=equipe_effectif.php&amp;name=09901c3b2379d481b29cff4dbf23f512"/>
  </hyperlinks>
  <printOptions/>
  <pageMargins left="0.25" right="0.25" top="0.75" bottom="0.75" header="0.3" footer="0.3"/>
  <pageSetup horizontalDpi="600" verticalDpi="600" orientation="portrait" paperSize="9" r:id="rId20"/>
  <legacyDrawing r:id="rId1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"/>
  <dimension ref="A2:Y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2" width="10.140625" style="0" bestFit="1" customWidth="1"/>
    <col min="3" max="3" width="5.8515625" style="0" bestFit="1" customWidth="1"/>
    <col min="4" max="4" width="4.28125" style="0" bestFit="1" customWidth="1"/>
    <col min="5" max="5" width="6.140625" style="0" bestFit="1" customWidth="1"/>
    <col min="6" max="6" width="5.57421875" style="0" bestFit="1" customWidth="1"/>
    <col min="7" max="7" width="6.57421875" style="0" bestFit="1" customWidth="1"/>
    <col min="8" max="8" width="6.28125" style="0" bestFit="1" customWidth="1"/>
    <col min="9" max="11" width="5.57421875" style="0" bestFit="1" customWidth="1"/>
    <col min="12" max="12" width="6.57421875" style="0" bestFit="1" customWidth="1"/>
    <col min="13" max="14" width="5.57421875" style="0" bestFit="1" customWidth="1"/>
    <col min="15" max="18" width="4.57421875" style="0" bestFit="1" customWidth="1"/>
    <col min="19" max="19" width="5.57421875" style="0" bestFit="1" customWidth="1"/>
    <col min="20" max="20" width="4.57421875" style="0" bestFit="1" customWidth="1"/>
    <col min="21" max="21" width="5.57421875" style="0" bestFit="1" customWidth="1"/>
    <col min="22" max="25" width="4.57421875" style="0" bestFit="1" customWidth="1"/>
  </cols>
  <sheetData>
    <row r="1" ht="31.5" customHeight="1"/>
    <row r="2" spans="1:25" ht="12.75">
      <c r="A2" s="80">
        <f ca="1">TODAY()</f>
        <v>40774</v>
      </c>
      <c r="B2" s="13" t="s">
        <v>21</v>
      </c>
      <c r="C2" s="14" t="s">
        <v>3</v>
      </c>
      <c r="D2" s="14" t="s">
        <v>0</v>
      </c>
      <c r="E2" s="237" t="s">
        <v>22</v>
      </c>
      <c r="F2" s="237" t="s">
        <v>23</v>
      </c>
      <c r="G2" s="237"/>
      <c r="H2" s="14" t="s">
        <v>24</v>
      </c>
      <c r="I2" s="14" t="s">
        <v>55</v>
      </c>
      <c r="J2" s="14" t="s">
        <v>35</v>
      </c>
      <c r="K2" s="14" t="s">
        <v>56</v>
      </c>
      <c r="L2" s="14" t="s">
        <v>169</v>
      </c>
      <c r="M2" s="14" t="s">
        <v>29</v>
      </c>
      <c r="N2" s="14" t="s">
        <v>170</v>
      </c>
      <c r="O2" s="14" t="s">
        <v>171</v>
      </c>
      <c r="P2" s="14" t="s">
        <v>171</v>
      </c>
      <c r="Q2" s="14" t="s">
        <v>60</v>
      </c>
      <c r="R2" s="14" t="s">
        <v>34</v>
      </c>
      <c r="S2" s="14" t="s">
        <v>61</v>
      </c>
      <c r="T2" s="14" t="s">
        <v>30</v>
      </c>
      <c r="U2" s="14" t="s">
        <v>67</v>
      </c>
      <c r="V2" s="14" t="s">
        <v>172</v>
      </c>
      <c r="W2" s="14" t="s">
        <v>71</v>
      </c>
      <c r="X2" s="14" t="s">
        <v>173</v>
      </c>
      <c r="Y2" s="14" t="s">
        <v>173</v>
      </c>
    </row>
  </sheetData>
  <sheetProtection/>
  <hyperlinks>
    <hyperlink ref="C2" r:id="rId1" display="http://www.handmanager.com/ClubHouse.php?page=equipe_effectif.php&amp;name=09901c3b2379d481b29cff4dbf23f512"/>
    <hyperlink ref="D2" r:id="rId2" display="http://www.handmanager.com/ClubHouse.php?page=equipe_effectif.php&amp;name=09901c3b2379d481b29cff4dbf23f512"/>
    <hyperlink ref="H2" r:id="rId3" display="http://www.handmanager.com/ClubHouse.php?page=equipe_effectif.php&amp;name=09901c3b2379d481b29cff4dbf23f512"/>
    <hyperlink ref="I2" r:id="rId4" display="http://www.handmanager.com/ClubHouse.php?page=equipe_effectif.php&amp;name=09901c3b2379d481b29cff4dbf23f512"/>
    <hyperlink ref="J2" r:id="rId5" display="http://www.handmanager.com/ClubHouse.php?page=equipe_effectif.php&amp;name=09901c3b2379d481b29cff4dbf23f512"/>
    <hyperlink ref="K2" r:id="rId6" display="http://www.handmanager.com/ClubHouse.php?page=equipe_effectif.php&amp;name=09901c3b2379d481b29cff4dbf23f512"/>
    <hyperlink ref="L2" r:id="rId7" display="http://www.handmanager.com/ClubHouse.php?page=equipe_effectif.php&amp;name=09901c3b2379d481b29cff4dbf23f512"/>
    <hyperlink ref="M2" r:id="rId8" display="http://www.handmanager.com/ClubHouse.php?page=equipe_effectif.php&amp;name=09901c3b2379d481b29cff4dbf23f512"/>
    <hyperlink ref="N2" r:id="rId9" display="http://www.handmanager.com/ClubHouse.php?page=equipe_effectif.php&amp;name=09901c3b2379d481b29cff4dbf23f512"/>
    <hyperlink ref="O2" r:id="rId10" display="http://www.handmanager.com/ClubHouse.php?page=equipe_effectif.php&amp;name=09901c3b2379d481b29cff4dbf23f512"/>
    <hyperlink ref="P2" r:id="rId11" display="http://www.handmanager.com/ClubHouse.php?page=equipe_effectif.php&amp;name=09901c3b2379d481b29cff4dbf23f512"/>
    <hyperlink ref="Q2" r:id="rId12" display="http://www.handmanager.com/ClubHouse.php?page=equipe_effectif.php&amp;name=09901c3b2379d481b29cff4dbf23f512"/>
    <hyperlink ref="R2" r:id="rId13" display="http://www.handmanager.com/ClubHouse.php?page=equipe_effectif.php&amp;name=09901c3b2379d481b29cff4dbf23f512"/>
    <hyperlink ref="S2" r:id="rId14" display="http://www.handmanager.com/ClubHouse.php?page=equipe_effectif.php&amp;name=09901c3b2379d481b29cff4dbf23f512"/>
    <hyperlink ref="T2" r:id="rId15" display="http://www.handmanager.com/ClubHouse.php?page=equipe_effectif.php&amp;name=09901c3b2379d481b29cff4dbf23f512"/>
    <hyperlink ref="U2" r:id="rId16" display="http://www.handmanager.com/ClubHouse.php?page=equipe_effectif.php&amp;name=09901c3b2379d481b29cff4dbf23f512"/>
    <hyperlink ref="V2" r:id="rId17" display="http://www.handmanager.com/ClubHouse.php?page=equipe_effectif.php&amp;name=09901c3b2379d481b29cff4dbf23f512"/>
    <hyperlink ref="W2" r:id="rId18" display="http://www.handmanager.com/ClubHouse.php?page=equipe_effectif.php&amp;name=09901c3b2379d481b29cff4dbf23f512"/>
    <hyperlink ref="X2" r:id="rId19" display="http://www.handmanager.com/ClubHouse.php?page=equipe_effectif.php&amp;name=09901c3b2379d481b29cff4dbf23f512"/>
    <hyperlink ref="Y2" r:id="rId20" display="http://www.handmanager.com/ClubHouse.php?page=equipe_effectif.php&amp;name=09901c3b2379d481b29cff4dbf23f512"/>
  </hyperlinks>
  <printOptions/>
  <pageMargins left="0.787401575" right="0.787401575" top="0.984251969" bottom="0.984251969" header="0.4921259845" footer="0.4921259845"/>
  <pageSetup horizontalDpi="600" verticalDpi="600" orientation="portrait" paperSize="9" r:id="rId23"/>
  <drawing r:id="rId22"/>
  <legacy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Octéa Ingénierie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Jérôme Gouaux</dc:creator>
  <cp:keywords/>
  <dc:description/>
  <cp:lastModifiedBy>Jérôme GOUAUX</cp:lastModifiedBy>
  <cp:lastPrinted>2011-08-19T15:10:42Z</cp:lastPrinted>
  <dcterms:created xsi:type="dcterms:W3CDTF">2010-09-08T20:21:43Z</dcterms:created>
  <dcterms:modified xsi:type="dcterms:W3CDTF">2011-08-19T15:38:06Z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