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autoCompressPictures="0"/>
  <bookViews>
    <workbookView xWindow="1520" yWindow="0" windowWidth="25600" windowHeight="16060"/>
  </bookViews>
  <sheets>
    <sheet name="l'arbre des technologies" sheetId="7" r:id="rId1"/>
    <sheet name="Ressources" sheetId="6" r:id="rId2"/>
    <sheet name="Batiments Marchandises" sheetId="1" r:id="rId3"/>
    <sheet name="ajustement" sheetId="4" r:id="rId4"/>
    <sheet name="ratios,rendements" sheetId="2" r:id="rId5"/>
    <sheet name="bonheur routes" sheetId="5" r:id="rId6"/>
    <sheet name="fréquence" sheetId="9" r:id="rId7"/>
    <sheet name="général" sheetId="10" r:id="rId8"/>
    <sheet name="rendement" sheetId="11" r:id="rId9"/>
  </sheets>
  <externalReferences>
    <externalReference r:id="rId10"/>
  </externalReferenc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6" i="11" l="1"/>
  <c r="F16" i="11"/>
  <c r="E16" i="11"/>
  <c r="D15" i="11"/>
  <c r="F15" i="11"/>
  <c r="E15" i="11"/>
  <c r="D14" i="11"/>
  <c r="F14" i="11"/>
  <c r="E14" i="11"/>
  <c r="D13" i="11"/>
  <c r="F13" i="11"/>
  <c r="E13" i="11"/>
  <c r="D12" i="11"/>
  <c r="F12" i="11"/>
  <c r="E12" i="11"/>
  <c r="D11" i="11"/>
  <c r="F11" i="11"/>
  <c r="E11" i="11"/>
  <c r="D10" i="11"/>
  <c r="F10" i="11"/>
  <c r="E10" i="11"/>
  <c r="D9" i="11"/>
  <c r="F9" i="11"/>
  <c r="E9" i="11"/>
  <c r="D8" i="11"/>
  <c r="F8" i="11"/>
  <c r="E8" i="11"/>
  <c r="D7" i="11"/>
  <c r="F7" i="11"/>
  <c r="E7" i="11"/>
  <c r="D6" i="11"/>
  <c r="F6" i="11"/>
  <c r="E6" i="11"/>
  <c r="D5" i="11"/>
  <c r="F5" i="11"/>
  <c r="E5" i="11"/>
  <c r="D4" i="11"/>
  <c r="F4" i="11"/>
  <c r="E4" i="11"/>
  <c r="D3" i="11"/>
  <c r="F3" i="11"/>
  <c r="E3" i="11"/>
  <c r="D2" i="11"/>
  <c r="F2" i="11"/>
  <c r="E2" i="11"/>
  <c r="G16" i="10"/>
  <c r="F16" i="10"/>
  <c r="G15" i="10"/>
  <c r="F15" i="10"/>
  <c r="G14" i="10"/>
  <c r="F14" i="10"/>
  <c r="G13" i="10"/>
  <c r="F13" i="10"/>
  <c r="G12" i="10"/>
  <c r="F12" i="10"/>
  <c r="G11" i="10"/>
  <c r="F11" i="10"/>
  <c r="G10" i="10"/>
  <c r="F10" i="10"/>
  <c r="G9" i="10"/>
  <c r="F9" i="10"/>
  <c r="G8" i="10"/>
  <c r="F8" i="10"/>
  <c r="G7" i="10"/>
  <c r="F7" i="10"/>
  <c r="G6" i="10"/>
  <c r="E6" i="10"/>
  <c r="F6" i="10"/>
  <c r="G5" i="10"/>
  <c r="F5" i="10"/>
  <c r="G4" i="10"/>
  <c r="F4" i="10"/>
  <c r="G3" i="10"/>
  <c r="E3" i="10"/>
  <c r="F3" i="10"/>
  <c r="G2" i="10"/>
  <c r="E2" i="10"/>
  <c r="F2" i="10"/>
  <c r="E4" i="9"/>
  <c r="F4" i="9"/>
  <c r="G4" i="9"/>
  <c r="H4" i="9"/>
  <c r="I4" i="9"/>
  <c r="J4" i="9"/>
  <c r="K4" i="9"/>
  <c r="L4" i="9"/>
  <c r="M4" i="9"/>
  <c r="N4" i="9"/>
  <c r="O4" i="9"/>
  <c r="P4" i="9"/>
  <c r="Q4" i="9"/>
  <c r="R4" i="9"/>
  <c r="S4" i="9"/>
  <c r="T4" i="9"/>
  <c r="U4" i="9"/>
  <c r="V4" i="9"/>
  <c r="W4" i="9"/>
  <c r="X4" i="9"/>
  <c r="Y4" i="9"/>
  <c r="Z4" i="9"/>
  <c r="AA4" i="9"/>
  <c r="AB4" i="9"/>
  <c r="AC4" i="9"/>
  <c r="E5" i="9"/>
  <c r="F5" i="9"/>
  <c r="G5" i="9"/>
  <c r="H5" i="9"/>
  <c r="I5" i="9"/>
  <c r="J5" i="9"/>
  <c r="K5" i="9"/>
  <c r="L5" i="9"/>
  <c r="M5" i="9"/>
  <c r="N5" i="9"/>
  <c r="O5" i="9"/>
  <c r="P5" i="9"/>
  <c r="Q5" i="9"/>
  <c r="R5" i="9"/>
  <c r="S5" i="9"/>
  <c r="T5" i="9"/>
  <c r="U5" i="9"/>
  <c r="V5" i="9"/>
  <c r="W5" i="9"/>
  <c r="X5" i="9"/>
  <c r="Y5" i="9"/>
  <c r="Z5" i="9"/>
  <c r="AA5" i="9"/>
  <c r="F6" i="9"/>
  <c r="G6" i="9"/>
  <c r="H6" i="9"/>
  <c r="I6" i="9"/>
  <c r="J6" i="9"/>
  <c r="K6" i="9"/>
  <c r="L6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F9" i="9"/>
  <c r="G9" i="9"/>
  <c r="H9" i="9"/>
  <c r="I9" i="9"/>
  <c r="J9" i="9"/>
  <c r="K9" i="9"/>
  <c r="L9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F11" i="9"/>
  <c r="G11" i="9"/>
  <c r="H11" i="9"/>
  <c r="I11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F13" i="9"/>
  <c r="G13" i="9"/>
  <c r="H13" i="9"/>
  <c r="I13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F15" i="9"/>
  <c r="G15" i="9"/>
  <c r="H15" i="9"/>
  <c r="I15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F17" i="9"/>
  <c r="G17" i="9"/>
  <c r="H17" i="9"/>
  <c r="I17" i="9"/>
  <c r="F18" i="9"/>
  <c r="G18" i="9"/>
  <c r="K36" i="6"/>
  <c r="K35" i="6"/>
  <c r="K34" i="6"/>
  <c r="K33" i="6"/>
  <c r="K32" i="6"/>
  <c r="H31" i="6"/>
  <c r="I31" i="6"/>
  <c r="J31" i="6"/>
  <c r="K31" i="6"/>
  <c r="H30" i="6"/>
  <c r="I30" i="6"/>
  <c r="J30" i="6"/>
  <c r="K30" i="6"/>
  <c r="H29" i="6"/>
  <c r="I29" i="6"/>
  <c r="J29" i="6"/>
  <c r="K29" i="6"/>
  <c r="H28" i="6"/>
  <c r="I28" i="6"/>
  <c r="J28" i="6"/>
  <c r="K28" i="6"/>
  <c r="D7" i="6"/>
  <c r="E7" i="6"/>
  <c r="F7" i="6"/>
  <c r="G7" i="6"/>
  <c r="J7" i="6"/>
  <c r="K7" i="6"/>
  <c r="D8" i="6"/>
  <c r="E8" i="6"/>
  <c r="F8" i="6"/>
  <c r="J8" i="6"/>
  <c r="K8" i="6"/>
  <c r="D9" i="6"/>
  <c r="E9" i="6"/>
  <c r="F9" i="6"/>
  <c r="G9" i="6"/>
  <c r="J9" i="6"/>
  <c r="K9" i="6"/>
  <c r="D10" i="6"/>
  <c r="E10" i="6"/>
  <c r="F10" i="6"/>
  <c r="G10" i="6"/>
  <c r="J10" i="6"/>
  <c r="K10" i="6"/>
  <c r="D11" i="6"/>
  <c r="E11" i="6"/>
  <c r="F11" i="6"/>
  <c r="G11" i="6"/>
  <c r="J11" i="6"/>
  <c r="K11" i="6"/>
  <c r="E12" i="6"/>
  <c r="F12" i="6"/>
  <c r="G12" i="6"/>
  <c r="H12" i="6"/>
  <c r="J12" i="6"/>
  <c r="K12" i="6"/>
  <c r="F13" i="6"/>
  <c r="G13" i="6"/>
  <c r="H13" i="6"/>
  <c r="J13" i="6"/>
  <c r="K13" i="6"/>
  <c r="E14" i="6"/>
  <c r="F14" i="6"/>
  <c r="G14" i="6"/>
  <c r="H14" i="6"/>
  <c r="J14" i="6"/>
  <c r="K14" i="6"/>
  <c r="E15" i="6"/>
  <c r="F15" i="6"/>
  <c r="G15" i="6"/>
  <c r="H15" i="6"/>
  <c r="J15" i="6"/>
  <c r="K15" i="6"/>
  <c r="E16" i="6"/>
  <c r="F16" i="6"/>
  <c r="G16" i="6"/>
  <c r="H16" i="6"/>
  <c r="J16" i="6"/>
  <c r="K16" i="6"/>
  <c r="F17" i="6"/>
  <c r="G17" i="6"/>
  <c r="H17" i="6"/>
  <c r="I17" i="6"/>
  <c r="J17" i="6"/>
  <c r="K17" i="6"/>
  <c r="F18" i="6"/>
  <c r="G18" i="6"/>
  <c r="H18" i="6"/>
  <c r="I18" i="6"/>
  <c r="J18" i="6"/>
  <c r="K18" i="6"/>
  <c r="F19" i="6"/>
  <c r="H19" i="6"/>
  <c r="I19" i="6"/>
  <c r="J19" i="6"/>
  <c r="K19" i="6"/>
  <c r="F20" i="6"/>
  <c r="G20" i="6"/>
  <c r="H20" i="6"/>
  <c r="I20" i="6"/>
  <c r="J20" i="6"/>
  <c r="K20" i="6"/>
  <c r="F21" i="6"/>
  <c r="G21" i="6"/>
  <c r="H21" i="6"/>
  <c r="I21" i="6"/>
  <c r="J21" i="6"/>
  <c r="K21" i="6"/>
  <c r="G22" i="6"/>
  <c r="H22" i="6"/>
  <c r="I22" i="6"/>
  <c r="J22" i="6"/>
  <c r="K22" i="6"/>
  <c r="G23" i="6"/>
  <c r="H23" i="6"/>
  <c r="I23" i="6"/>
  <c r="J23" i="6"/>
  <c r="K23" i="6"/>
  <c r="G24" i="6"/>
  <c r="H24" i="6"/>
  <c r="I24" i="6"/>
  <c r="J24" i="6"/>
  <c r="K24" i="6"/>
  <c r="G25" i="6"/>
  <c r="H25" i="6"/>
  <c r="I25" i="6"/>
  <c r="J25" i="6"/>
  <c r="K25" i="6"/>
  <c r="G26" i="6"/>
  <c r="I26" i="6"/>
  <c r="J26" i="6"/>
  <c r="K26" i="6"/>
  <c r="H27" i="6"/>
  <c r="I27" i="6"/>
  <c r="J27" i="6"/>
  <c r="K27" i="6"/>
  <c r="I32" i="6"/>
  <c r="J32" i="6"/>
  <c r="I33" i="6"/>
  <c r="J33" i="6"/>
  <c r="I34" i="6"/>
  <c r="J34" i="6"/>
  <c r="I35" i="6"/>
  <c r="J35" i="6"/>
  <c r="I36" i="6"/>
  <c r="J36" i="6"/>
  <c r="D4" i="6"/>
  <c r="E4" i="6"/>
  <c r="F4" i="6"/>
  <c r="J4" i="6"/>
  <c r="K4" i="6"/>
  <c r="D6" i="6"/>
  <c r="E6" i="6"/>
  <c r="F6" i="6"/>
  <c r="J6" i="6"/>
  <c r="K6" i="6"/>
  <c r="D2" i="6"/>
  <c r="E2" i="6"/>
  <c r="F2" i="6"/>
  <c r="J2" i="6"/>
  <c r="K2" i="6"/>
  <c r="D3" i="6"/>
  <c r="E3" i="6"/>
  <c r="F3" i="6"/>
  <c r="J3" i="6"/>
  <c r="K3" i="6"/>
  <c r="D5" i="6"/>
  <c r="E5" i="6"/>
  <c r="J5" i="6"/>
  <c r="K5" i="6"/>
  <c r="C2" i="6"/>
  <c r="C3" i="6"/>
  <c r="F4" i="1"/>
  <c r="N4" i="1"/>
  <c r="F5" i="1"/>
  <c r="N5" i="1"/>
  <c r="F6" i="1"/>
  <c r="N6" i="1"/>
  <c r="F7" i="1"/>
  <c r="N7" i="1"/>
  <c r="F8" i="1"/>
  <c r="N8" i="1"/>
  <c r="F9" i="1"/>
  <c r="N9" i="1"/>
  <c r="F10" i="1"/>
  <c r="N10" i="1"/>
  <c r="F11" i="1"/>
  <c r="N11" i="1"/>
  <c r="F12" i="1"/>
  <c r="N12" i="1"/>
  <c r="F13" i="1"/>
  <c r="N13" i="1"/>
  <c r="F14" i="1"/>
  <c r="N14" i="1"/>
  <c r="F15" i="1"/>
  <c r="N15" i="1"/>
  <c r="F16" i="1"/>
  <c r="N16" i="1"/>
  <c r="F17" i="1"/>
  <c r="N17" i="1"/>
  <c r="F18" i="1"/>
  <c r="N18" i="1"/>
  <c r="O5" i="1"/>
  <c r="P5" i="1"/>
  <c r="O4" i="1"/>
  <c r="P4" i="1"/>
  <c r="O6" i="1"/>
  <c r="P6" i="1"/>
  <c r="O7" i="1"/>
  <c r="P7" i="1"/>
  <c r="O8" i="1"/>
  <c r="P8" i="1"/>
  <c r="O9" i="1"/>
  <c r="P9" i="1"/>
  <c r="O10" i="1"/>
  <c r="P10" i="1"/>
  <c r="O11" i="1"/>
  <c r="P11" i="1"/>
  <c r="O12" i="1"/>
  <c r="P12" i="1"/>
  <c r="O13" i="1"/>
  <c r="P13" i="1"/>
  <c r="O14" i="1"/>
  <c r="P14" i="1"/>
  <c r="O15" i="1"/>
  <c r="P15" i="1"/>
  <c r="O16" i="1"/>
  <c r="P16" i="1"/>
  <c r="O17" i="1"/>
  <c r="P17" i="1"/>
  <c r="O18" i="1"/>
  <c r="P18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4" i="1"/>
  <c r="D5" i="4"/>
  <c r="E5" i="4"/>
  <c r="F5" i="4"/>
  <c r="K18" i="1"/>
  <c r="K5" i="1"/>
  <c r="K4" i="1"/>
  <c r="D6" i="4"/>
  <c r="E6" i="4"/>
  <c r="D7" i="4"/>
  <c r="E7" i="4"/>
  <c r="D8" i="4"/>
  <c r="E8" i="4"/>
  <c r="D9" i="4"/>
  <c r="E9" i="4"/>
  <c r="D10" i="4"/>
  <c r="E10" i="4"/>
  <c r="D11" i="4"/>
  <c r="E11" i="4"/>
  <c r="D12" i="4"/>
  <c r="E12" i="4"/>
  <c r="D13" i="4"/>
  <c r="E13" i="4"/>
  <c r="D14" i="4"/>
  <c r="E14" i="4"/>
  <c r="D15" i="4"/>
  <c r="E15" i="4"/>
  <c r="D16" i="4"/>
  <c r="E16" i="4"/>
  <c r="D17" i="4"/>
  <c r="E17" i="4"/>
  <c r="D18" i="4"/>
  <c r="E18" i="4"/>
  <c r="D19" i="4"/>
  <c r="E19" i="4"/>
  <c r="H5" i="4"/>
  <c r="E11" i="2"/>
  <c r="K17" i="1"/>
  <c r="K16" i="1"/>
  <c r="K15" i="1"/>
  <c r="K14" i="1"/>
  <c r="K13" i="1"/>
  <c r="K12" i="1"/>
  <c r="K11" i="1"/>
  <c r="K10" i="1"/>
  <c r="K9" i="1"/>
  <c r="K8" i="1"/>
  <c r="K7" i="1"/>
  <c r="K6" i="1"/>
  <c r="K17" i="4"/>
  <c r="K13" i="4"/>
  <c r="F13" i="4"/>
  <c r="K9" i="4"/>
  <c r="H16" i="4"/>
  <c r="E22" i="2"/>
  <c r="F16" i="4"/>
  <c r="H12" i="4"/>
  <c r="E18" i="2"/>
  <c r="H8" i="4"/>
  <c r="E14" i="2"/>
  <c r="F8" i="4"/>
  <c r="M19" i="4"/>
  <c r="M15" i="4"/>
  <c r="M11" i="4"/>
  <c r="M7" i="4"/>
  <c r="F7" i="4"/>
  <c r="L18" i="4"/>
  <c r="F18" i="4"/>
  <c r="L14" i="4"/>
  <c r="F14" i="4"/>
  <c r="L10" i="4"/>
  <c r="L6" i="4"/>
  <c r="K15" i="4"/>
  <c r="H13" i="4"/>
  <c r="E19" i="2"/>
  <c r="K7" i="4"/>
  <c r="K19" i="4"/>
  <c r="K11" i="4"/>
  <c r="M17" i="4"/>
  <c r="M9" i="4"/>
  <c r="H17" i="4"/>
  <c r="E23" i="2"/>
  <c r="I13" i="4"/>
  <c r="M13" i="4"/>
  <c r="F6" i="4"/>
  <c r="H10" i="4"/>
  <c r="E16" i="2"/>
  <c r="F19" i="4"/>
  <c r="F11" i="4"/>
  <c r="H18" i="4"/>
  <c r="E24" i="2"/>
  <c r="H9" i="4"/>
  <c r="E15" i="2"/>
  <c r="I9" i="4"/>
  <c r="L17" i="4"/>
  <c r="L13" i="4"/>
  <c r="L9" i="4"/>
  <c r="F10" i="4"/>
  <c r="H6" i="4"/>
  <c r="E12" i="2"/>
  <c r="F15" i="4"/>
  <c r="H14" i="4"/>
  <c r="E20" i="2"/>
  <c r="I17" i="4"/>
  <c r="M18" i="4"/>
  <c r="M14" i="4"/>
  <c r="M10" i="4"/>
  <c r="M6" i="4"/>
  <c r="J5" i="4"/>
  <c r="G11" i="2"/>
  <c r="J12" i="4"/>
  <c r="G18" i="2"/>
  <c r="M5" i="4"/>
  <c r="L12" i="4"/>
  <c r="I16" i="4"/>
  <c r="F22" i="2"/>
  <c r="I8" i="4"/>
  <c r="J15" i="4"/>
  <c r="G21" i="2"/>
  <c r="J7" i="4"/>
  <c r="G13" i="2"/>
  <c r="K16" i="4"/>
  <c r="F12" i="4"/>
  <c r="H19" i="4"/>
  <c r="E25" i="2"/>
  <c r="H15" i="4"/>
  <c r="E21" i="2"/>
  <c r="H11" i="4"/>
  <c r="E17" i="2"/>
  <c r="H7" i="4"/>
  <c r="E13" i="2"/>
  <c r="I18" i="4"/>
  <c r="I14" i="4"/>
  <c r="I10" i="4"/>
  <c r="I6" i="4"/>
  <c r="J17" i="4"/>
  <c r="G23" i="2"/>
  <c r="J13" i="4"/>
  <c r="G19" i="2"/>
  <c r="J9" i="4"/>
  <c r="G15" i="2"/>
  <c r="K5" i="4"/>
  <c r="L19" i="4"/>
  <c r="K18" i="4"/>
  <c r="M16" i="4"/>
  <c r="L15" i="4"/>
  <c r="K14" i="4"/>
  <c r="M12" i="4"/>
  <c r="L11" i="4"/>
  <c r="K10" i="4"/>
  <c r="M8" i="4"/>
  <c r="L7" i="4"/>
  <c r="K6" i="4"/>
  <c r="J16" i="4"/>
  <c r="G22" i="2"/>
  <c r="J8" i="4"/>
  <c r="G14" i="2"/>
  <c r="L16" i="4"/>
  <c r="L8" i="4"/>
  <c r="I5" i="4"/>
  <c r="F11" i="2"/>
  <c r="I12" i="4"/>
  <c r="J19" i="4"/>
  <c r="J11" i="4"/>
  <c r="G17" i="2"/>
  <c r="L5" i="4"/>
  <c r="K12" i="4"/>
  <c r="K8" i="4"/>
  <c r="F17" i="4"/>
  <c r="F9" i="4"/>
  <c r="I19" i="4"/>
  <c r="I15" i="4"/>
  <c r="I11" i="4"/>
  <c r="I7" i="4"/>
  <c r="J18" i="4"/>
  <c r="J14" i="4"/>
  <c r="G20" i="2"/>
  <c r="J10" i="4"/>
  <c r="G16" i="2"/>
  <c r="J6" i="4"/>
  <c r="G12" i="2"/>
  <c r="F18" i="2"/>
  <c r="F14" i="2"/>
  <c r="K15" i="2"/>
  <c r="L13" i="2"/>
  <c r="K13" i="2"/>
  <c r="K25" i="2"/>
  <c r="K14" i="2"/>
  <c r="K23" i="2"/>
  <c r="H17" i="2"/>
  <c r="K18" i="2"/>
  <c r="K22" i="2"/>
  <c r="K16" i="2"/>
  <c r="K17" i="2"/>
  <c r="K20" i="2"/>
  <c r="K11" i="2"/>
  <c r="K24" i="2"/>
  <c r="K19" i="2"/>
  <c r="K21" i="2"/>
  <c r="K12" i="2"/>
  <c r="H12" i="2"/>
  <c r="H23" i="2"/>
  <c r="H18" i="2"/>
  <c r="H21" i="2"/>
  <c r="H20" i="2"/>
  <c r="H14" i="2"/>
  <c r="H25" i="2"/>
  <c r="H19" i="2"/>
  <c r="H22" i="2"/>
  <c r="H24" i="2"/>
  <c r="H13" i="2"/>
  <c r="H15" i="2"/>
  <c r="H16" i="2"/>
  <c r="H11" i="2"/>
  <c r="L16" i="2"/>
  <c r="L17" i="2"/>
  <c r="L25" i="2"/>
  <c r="L18" i="2"/>
  <c r="L11" i="2"/>
  <c r="L15" i="2"/>
  <c r="L19" i="2"/>
  <c r="L23" i="2"/>
  <c r="L12" i="2"/>
  <c r="L20" i="2"/>
  <c r="L24" i="2"/>
  <c r="L21" i="2"/>
  <c r="L14" i="2"/>
  <c r="L22" i="2"/>
  <c r="F15" i="2"/>
  <c r="F16" i="2"/>
  <c r="F19" i="2"/>
  <c r="F20" i="2"/>
  <c r="F23" i="2"/>
  <c r="G24" i="2"/>
  <c r="D19" i="2"/>
  <c r="G25" i="2"/>
  <c r="D18" i="2"/>
  <c r="D13" i="2"/>
  <c r="D24" i="2"/>
  <c r="D25" i="2"/>
  <c r="D23" i="2"/>
  <c r="D22" i="2"/>
  <c r="F24" i="2"/>
  <c r="D21" i="2"/>
  <c r="D11" i="2"/>
  <c r="D12" i="2"/>
  <c r="D15" i="2"/>
  <c r="F12" i="2"/>
  <c r="D14" i="2"/>
  <c r="D16" i="2"/>
  <c r="D17" i="2"/>
  <c r="D20" i="2"/>
  <c r="F21" i="2"/>
  <c r="F25" i="2"/>
  <c r="F13" i="2"/>
  <c r="F17" i="2"/>
  <c r="I25" i="2"/>
  <c r="J24" i="2"/>
  <c r="I16" i="2"/>
  <c r="I11" i="2"/>
  <c r="J12" i="2"/>
  <c r="I21" i="2"/>
  <c r="I15" i="2"/>
  <c r="I22" i="2"/>
  <c r="I17" i="2"/>
  <c r="I12" i="2"/>
  <c r="J25" i="2"/>
  <c r="I20" i="2"/>
  <c r="J21" i="2"/>
  <c r="J15" i="2"/>
  <c r="J18" i="2"/>
  <c r="J14" i="2"/>
  <c r="J11" i="2"/>
  <c r="I23" i="2"/>
  <c r="J16" i="2"/>
  <c r="M16" i="2"/>
  <c r="J13" i="2"/>
  <c r="J23" i="2"/>
  <c r="I13" i="2"/>
  <c r="I24" i="2"/>
  <c r="M24" i="2"/>
  <c r="I19" i="2"/>
  <c r="J22" i="2"/>
  <c r="J19" i="2"/>
  <c r="J17" i="2"/>
  <c r="I14" i="2"/>
  <c r="I18" i="2"/>
  <c r="J20" i="2"/>
  <c r="M25" i="2"/>
  <c r="M22" i="2"/>
  <c r="M11" i="2"/>
  <c r="M20" i="2"/>
  <c r="M19" i="2"/>
  <c r="M15" i="2"/>
  <c r="M23" i="2"/>
  <c r="M21" i="2"/>
  <c r="M12" i="2"/>
  <c r="M13" i="2"/>
  <c r="M14" i="2"/>
  <c r="M17" i="2"/>
  <c r="M18" i="2"/>
</calcChain>
</file>

<file path=xl/sharedStrings.xml><?xml version="1.0" encoding="utf-8"?>
<sst xmlns="http://schemas.openxmlformats.org/spreadsheetml/2006/main" count="608" uniqueCount="266">
  <si>
    <t>Âge</t>
  </si>
  <si>
    <t>Chrono.</t>
  </si>
  <si>
    <t>Nom</t>
  </si>
  <si>
    <t>Pierre</t>
  </si>
  <si>
    <t>Pavillon de chasse</t>
  </si>
  <si>
    <t>Bronze</t>
  </si>
  <si>
    <t>Poterie</t>
  </si>
  <si>
    <t>Exploitation fruitière</t>
  </si>
  <si>
    <t>Forge</t>
  </si>
  <si>
    <t>Fer</t>
  </si>
  <si>
    <t>Elevage de chèvres</t>
  </si>
  <si>
    <t>Bouchrie</t>
  </si>
  <si>
    <t>Moyen-Âge</t>
  </si>
  <si>
    <t>Tannerie</t>
  </si>
  <si>
    <t>Cordonnerie</t>
  </si>
  <si>
    <t>Moyen-Âge classique</t>
  </si>
  <si>
    <t>Alchimiste</t>
  </si>
  <si>
    <t>Ferme</t>
  </si>
  <si>
    <t>Renaissance</t>
  </si>
  <si>
    <t>Tonnellerie</t>
  </si>
  <si>
    <t>Brasserie</t>
  </si>
  <si>
    <t>Colonial</t>
  </si>
  <si>
    <t>Fabricant de voiles</t>
  </si>
  <si>
    <t>Plantation de tabac</t>
  </si>
  <si>
    <t>Horlogerie</t>
  </si>
  <si>
    <t>Production horaire</t>
  </si>
  <si>
    <t>Population</t>
  </si>
  <si>
    <t>Or</t>
  </si>
  <si>
    <t>Points</t>
  </si>
  <si>
    <t>Routes</t>
  </si>
  <si>
    <t>Bonheur</t>
  </si>
  <si>
    <t>March.</t>
  </si>
  <si>
    <t>Ratios</t>
  </si>
  <si>
    <t>Rendements</t>
  </si>
  <si>
    <t>Moyenne</t>
  </si>
  <si>
    <t>Production</t>
  </si>
  <si>
    <t>Prod. horaire / case</t>
  </si>
  <si>
    <t>Points/case</t>
  </si>
  <si>
    <t>Boucherie</t>
  </si>
  <si>
    <t>Prod. horaire / hab</t>
  </si>
  <si>
    <t xml:space="preserve">Bonheur </t>
  </si>
  <si>
    <t xml:space="preserve">Points/case </t>
  </si>
  <si>
    <t xml:space="preserve">Prod. horaire / case </t>
  </si>
  <si>
    <t xml:space="preserve">Prod. horaire / hab </t>
  </si>
  <si>
    <t>Zone</t>
  </si>
  <si>
    <t>Nb_bâtiments / Zone</t>
  </si>
  <si>
    <t>Coeff.</t>
  </si>
  <si>
    <t>Haut MA</t>
  </si>
  <si>
    <t>Moyen-Âge C</t>
  </si>
  <si>
    <t>Largeur (cases)</t>
  </si>
  <si>
    <t>Longueur (cases)</t>
  </si>
  <si>
    <t>Taille (cases)</t>
  </si>
  <si>
    <t>Chronologie</t>
  </si>
  <si>
    <t>Bonheur des routes</t>
  </si>
  <si>
    <t>Coût total</t>
  </si>
  <si>
    <t>Paramètres</t>
  </si>
  <si>
    <t>Bonheur routes</t>
  </si>
  <si>
    <t>Motivation</t>
  </si>
  <si>
    <t>Taille + route</t>
  </si>
  <si>
    <t>RESSOURCES</t>
  </si>
  <si>
    <t>Age de bronze</t>
  </si>
  <si>
    <t>bois</t>
  </si>
  <si>
    <t>marbres</t>
  </si>
  <si>
    <t>pierre</t>
  </si>
  <si>
    <t>teinture</t>
  </si>
  <si>
    <t>vin</t>
  </si>
  <si>
    <t>Bijoux</t>
  </si>
  <si>
    <t>bois d'ebene</t>
  </si>
  <si>
    <t>Calvaire</t>
  </si>
  <si>
    <t>Tissu</t>
  </si>
  <si>
    <t>Albatre</t>
  </si>
  <si>
    <t>Cuivre</t>
  </si>
  <si>
    <t>Granite</t>
  </si>
  <si>
    <t>Miel</t>
  </si>
  <si>
    <t>Brique</t>
  </si>
  <si>
    <t>Corde</t>
  </si>
  <si>
    <t>Herbes séchées</t>
  </si>
  <si>
    <t>Sel</t>
  </si>
  <si>
    <t>Verre</t>
  </si>
  <si>
    <t>Basalte</t>
  </si>
  <si>
    <t>Laiton</t>
  </si>
  <si>
    <t>Poudre à canon</t>
  </si>
  <si>
    <t>Poudre à talquer</t>
  </si>
  <si>
    <t>Soie</t>
  </si>
  <si>
    <t>Goudron</t>
  </si>
  <si>
    <t>Café</t>
  </si>
  <si>
    <t>Porcelaine</t>
  </si>
  <si>
    <t>Papier</t>
  </si>
  <si>
    <t>Fil</t>
  </si>
  <si>
    <t>Tour de Babel</t>
  </si>
  <si>
    <t>Statue de Zeus</t>
  </si>
  <si>
    <t>Colisée</t>
  </si>
  <si>
    <t>Cathédrale d'Aix</t>
  </si>
  <si>
    <t>Basilique St Marc</t>
  </si>
  <si>
    <t>Notre Dame</t>
  </si>
  <si>
    <t>St Basile</t>
  </si>
  <si>
    <t>Château de Deal</t>
  </si>
  <si>
    <t>Frauenkirche de Dresde</t>
  </si>
  <si>
    <t>Ressources</t>
  </si>
  <si>
    <t>Castel del Monte</t>
  </si>
  <si>
    <t>Phare d'Alexandrie</t>
  </si>
  <si>
    <r>
      <t>Hagia Sophia</t>
    </r>
    <r>
      <rPr>
        <sz val="11"/>
        <color theme="1"/>
        <rFont val="Calibri"/>
        <family val="2"/>
        <scheme val="minor"/>
      </rPr>
      <t xml:space="preserve"> </t>
    </r>
  </si>
  <si>
    <t>Technologies</t>
  </si>
  <si>
    <t>Quantité</t>
  </si>
  <si>
    <t>Type de ressources</t>
  </si>
  <si>
    <t>marbre</t>
  </si>
  <si>
    <t>Age de Fer</t>
  </si>
  <si>
    <t>Age de Bronze</t>
  </si>
  <si>
    <t>milice</t>
  </si>
  <si>
    <t>cortéges</t>
  </si>
  <si>
    <t>archerie</t>
  </si>
  <si>
    <t>thermes</t>
  </si>
  <si>
    <t>chaine de commandement</t>
  </si>
  <si>
    <t>legende</t>
  </si>
  <si>
    <t>calcaire</t>
  </si>
  <si>
    <t>bois d'ébene</t>
  </si>
  <si>
    <t>tissu</t>
  </si>
  <si>
    <t>fer</t>
  </si>
  <si>
    <t>bijoux</t>
  </si>
  <si>
    <t>Haut Moyen Age</t>
  </si>
  <si>
    <t>Archers montés</t>
  </si>
  <si>
    <t>economie</t>
  </si>
  <si>
    <t>logement</t>
  </si>
  <si>
    <t>mercenaires</t>
  </si>
  <si>
    <t>travail du cuir</t>
  </si>
  <si>
    <t>maison en bois</t>
  </si>
  <si>
    <t>executions</t>
  </si>
  <si>
    <t>physique</t>
  </si>
  <si>
    <t>granite</t>
  </si>
  <si>
    <t>albatre</t>
  </si>
  <si>
    <t>miel</t>
  </si>
  <si>
    <t>cuivre</t>
  </si>
  <si>
    <t>or</t>
  </si>
  <si>
    <t>Moyen Age Classic</t>
  </si>
  <si>
    <t>contre-stratégie</t>
  </si>
  <si>
    <t>produits de qualité</t>
  </si>
  <si>
    <t>alchimie</t>
  </si>
  <si>
    <t>maison en grés</t>
  </si>
  <si>
    <t>monothéisme</t>
  </si>
  <si>
    <t>chevalerie</t>
  </si>
  <si>
    <t>grenier</t>
  </si>
  <si>
    <t>armure lourde</t>
  </si>
  <si>
    <t>maison de ville</t>
  </si>
  <si>
    <t>corde</t>
  </si>
  <si>
    <t>sel</t>
  </si>
  <si>
    <t>herbes séchées</t>
  </si>
  <si>
    <t>brique</t>
  </si>
  <si>
    <t>verre</t>
  </si>
  <si>
    <t>cartographie</t>
  </si>
  <si>
    <t>propriété</t>
  </si>
  <si>
    <t>epées à deux mains</t>
  </si>
  <si>
    <t>manufacture</t>
  </si>
  <si>
    <t>enseignement superieur</t>
  </si>
  <si>
    <t>carré de piques</t>
  </si>
  <si>
    <t>cuves de brassage</t>
  </si>
  <si>
    <t>appartements</t>
  </si>
  <si>
    <t>poudre à canon</t>
  </si>
  <si>
    <t>soie</t>
  </si>
  <si>
    <t>laiton</t>
  </si>
  <si>
    <t>poudre à talquer</t>
  </si>
  <si>
    <t>basalte</t>
  </si>
  <si>
    <t>Age Colonial</t>
  </si>
  <si>
    <t>mousquets</t>
  </si>
  <si>
    <t>transport maritime</t>
  </si>
  <si>
    <t>colonies</t>
  </si>
  <si>
    <t>maisons à arcade</t>
  </si>
  <si>
    <t>produits des plantations</t>
  </si>
  <si>
    <t>exploration</t>
  </si>
  <si>
    <t>mode</t>
  </si>
  <si>
    <t>plantations</t>
  </si>
  <si>
    <t>chartes commerciales</t>
  </si>
  <si>
    <t>régiment rapide</t>
  </si>
  <si>
    <t>malthusianisme</t>
  </si>
  <si>
    <t>force d'élites</t>
  </si>
  <si>
    <t>horlogerie</t>
  </si>
  <si>
    <t>maisons à mansarde</t>
  </si>
  <si>
    <t>artillerie de campagne</t>
  </si>
  <si>
    <t>goudron</t>
  </si>
  <si>
    <t>café</t>
  </si>
  <si>
    <t>porcelaine</t>
  </si>
  <si>
    <t>papier</t>
  </si>
  <si>
    <t>fil</t>
  </si>
  <si>
    <t>ressources "age de bronze"</t>
  </si>
  <si>
    <t>ressources "age de fer"</t>
  </si>
  <si>
    <t>ressources "haut moyen age"</t>
  </si>
  <si>
    <t>ressources "moyen age classique"</t>
  </si>
  <si>
    <t>ressources "renaissance"</t>
  </si>
  <si>
    <t>ressources "age coloniale"</t>
  </si>
  <si>
    <t>* = expansion</t>
  </si>
  <si>
    <t>sculpture *</t>
  </si>
  <si>
    <t>achitecture *</t>
  </si>
  <si>
    <t>agriculture *</t>
  </si>
  <si>
    <t>systeme d'égout *</t>
  </si>
  <si>
    <t>fortification *</t>
  </si>
  <si>
    <t>labourage *</t>
  </si>
  <si>
    <t>aqueducs *</t>
  </si>
  <si>
    <t>monarchie *</t>
  </si>
  <si>
    <t>hopitaux *</t>
  </si>
  <si>
    <t>nouvelles  routes commerciales *</t>
  </si>
  <si>
    <t>impérialisme *</t>
  </si>
  <si>
    <t>TOTAL Technologies + Monuments</t>
  </si>
  <si>
    <t>© CoopeR ®</t>
  </si>
  <si>
    <t>Total Ressources des Technologies a obtenir</t>
  </si>
  <si>
    <t>Ressources possédées</t>
  </si>
  <si>
    <t>Age Industriel</t>
  </si>
  <si>
    <t>industrialisation</t>
  </si>
  <si>
    <t>extraction</t>
  </si>
  <si>
    <t>fusils</t>
  </si>
  <si>
    <t>textiles</t>
  </si>
  <si>
    <t>chemin de fer</t>
  </si>
  <si>
    <t>coke</t>
  </si>
  <si>
    <t>herbes sechées</t>
  </si>
  <si>
    <t>caoutchouc</t>
  </si>
  <si>
    <t>hygiène</t>
  </si>
  <si>
    <t>chimie moderne</t>
  </si>
  <si>
    <t>poudres a talquer</t>
  </si>
  <si>
    <t>maison d'ouvrier</t>
  </si>
  <si>
    <t>the west</t>
  </si>
  <si>
    <t>engrais</t>
  </si>
  <si>
    <t>reconnaissance</t>
  </si>
  <si>
    <t>outils de précision</t>
  </si>
  <si>
    <t>pensions</t>
  </si>
  <si>
    <t>maisons victoriennes</t>
  </si>
  <si>
    <t>manufacture moderne</t>
  </si>
  <si>
    <t>routes modernes</t>
  </si>
  <si>
    <t>manœuvre de flanquement</t>
  </si>
  <si>
    <t>ordre général</t>
  </si>
  <si>
    <t>balistique</t>
  </si>
  <si>
    <t>infrastructure</t>
  </si>
  <si>
    <t>chargement par la cullasse</t>
  </si>
  <si>
    <t>huile de baleine</t>
  </si>
  <si>
    <t>poudres à canon</t>
  </si>
  <si>
    <t>Caoutchouc</t>
  </si>
  <si>
    <t>Textiles</t>
  </si>
  <si>
    <t>Huile de baleine</t>
  </si>
  <si>
    <t>Engrais</t>
  </si>
  <si>
    <t>Coke</t>
  </si>
  <si>
    <t>Royal Albert Hall</t>
  </si>
  <si>
    <t>Capitol</t>
  </si>
  <si>
    <t>Maison à mansarde</t>
  </si>
  <si>
    <t>Maison de campagne</t>
  </si>
  <si>
    <t>Maison à arcade</t>
  </si>
  <si>
    <t>Appartements</t>
  </si>
  <si>
    <t>Propriété</t>
  </si>
  <si>
    <t>Maison de ville</t>
  </si>
  <si>
    <t>Moyen-Âge Classique</t>
  </si>
  <si>
    <t>Maison en grès brun</t>
  </si>
  <si>
    <t>Maison en bois</t>
  </si>
  <si>
    <t>Haut Moyen-Âge</t>
  </si>
  <si>
    <t>Maison à charpente en bois</t>
  </si>
  <si>
    <t>Maison</t>
  </si>
  <si>
    <t>Maisonnette</t>
  </si>
  <si>
    <t>Chaumière</t>
  </si>
  <si>
    <t>Chalet</t>
  </si>
  <si>
    <t>Maison sur pilotis</t>
  </si>
  <si>
    <t>Hutte</t>
  </si>
  <si>
    <t>Nombre de récoltes sur 24h</t>
  </si>
  <si>
    <t>Nb. Récoltes</t>
  </si>
  <si>
    <t>Temps</t>
  </si>
  <si>
    <t>Gain</t>
  </si>
  <si>
    <t>Gain (pièces)</t>
  </si>
  <si>
    <t>Temps (heures)</t>
  </si>
  <si>
    <t>Récolte théorique par heure</t>
  </si>
  <si>
    <t>Récolte réelle approchée par heure</t>
  </si>
  <si>
    <t>Rendement production</t>
  </si>
  <si>
    <t>Rendement population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</si>
</sst>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0.0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1"/>
      <name val="Calibri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theme="0"/>
      <name val="Calibri"/>
      <scheme val="minor"/>
    </font>
    <font>
      <sz val="8"/>
      <name val="Calibri"/>
      <family val="2"/>
      <scheme val="minor"/>
    </font>
    <font>
      <sz val="12"/>
      <color theme="0"/>
      <name val="Calibri"/>
    </font>
    <font>
      <b/>
      <sz val="12"/>
      <color rgb="FF3F3F3F"/>
      <name val="Calibri"/>
      <family val="2"/>
      <scheme val="minor"/>
    </font>
    <font>
      <sz val="11"/>
      <color rgb="FF3F3F3F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rgb="FFFF6600"/>
        <bgColor indexed="64"/>
      </patternFill>
    </fill>
    <fill>
      <patternFill patternType="solid">
        <fgColor rgb="FFFFC527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24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B241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0000"/>
        <bgColor indexed="64"/>
      </patternFill>
    </fill>
    <fill>
      <patternFill patternType="lightUp"/>
    </fill>
  </fills>
  <borders count="6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ck">
        <color theme="3"/>
      </left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theme="3"/>
      </left>
      <right/>
      <top style="thick">
        <color theme="3"/>
      </top>
      <bottom/>
      <diagonal/>
    </border>
    <border>
      <left/>
      <right/>
      <top style="thick">
        <color theme="3"/>
      </top>
      <bottom/>
      <diagonal/>
    </border>
    <border>
      <left/>
      <right style="thick">
        <color theme="3"/>
      </right>
      <top style="thick">
        <color theme="3"/>
      </top>
      <bottom/>
      <diagonal/>
    </border>
    <border>
      <left style="thick">
        <color theme="3"/>
      </left>
      <right/>
      <top/>
      <bottom/>
      <diagonal/>
    </border>
    <border>
      <left/>
      <right style="thick">
        <color theme="3"/>
      </right>
      <top/>
      <bottom/>
      <diagonal/>
    </border>
    <border>
      <left style="thick">
        <color theme="3"/>
      </left>
      <right/>
      <top/>
      <bottom style="thick">
        <color theme="3"/>
      </bottom>
      <diagonal/>
    </border>
    <border>
      <left/>
      <right/>
      <top/>
      <bottom style="thick">
        <color theme="3"/>
      </bottom>
      <diagonal/>
    </border>
    <border>
      <left/>
      <right style="thick">
        <color theme="3"/>
      </right>
      <top/>
      <bottom style="thick">
        <color theme="3"/>
      </bottom>
      <diagonal/>
    </border>
    <border>
      <left style="thick">
        <color theme="3"/>
      </left>
      <right/>
      <top style="thick">
        <color theme="3"/>
      </top>
      <bottom style="thick">
        <color theme="3"/>
      </bottom>
      <diagonal/>
    </border>
    <border>
      <left/>
      <right/>
      <top style="thick">
        <color theme="3"/>
      </top>
      <bottom style="thick">
        <color theme="3"/>
      </bottom>
      <diagonal/>
    </border>
    <border>
      <left/>
      <right style="thick">
        <color theme="3"/>
      </right>
      <top style="thick">
        <color theme="3"/>
      </top>
      <bottom style="thick">
        <color theme="3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7F7F7F"/>
      </bottom>
      <diagonal/>
    </border>
    <border>
      <left style="thin">
        <color rgb="FF7F7F7F"/>
      </left>
      <right style="thin">
        <color rgb="FF3F3F3F"/>
      </right>
      <top style="thin">
        <color rgb="FF3F3F3F"/>
      </top>
      <bottom style="thin">
        <color rgb="FF7F7F7F"/>
      </bottom>
      <diagonal/>
    </border>
    <border>
      <left/>
      <right style="thin">
        <color rgb="FF7F7F7F"/>
      </right>
      <top/>
      <bottom/>
      <diagonal/>
    </border>
    <border>
      <left style="thin">
        <color rgb="FF7F7F7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84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1" applyNumberFormat="0" applyFill="0" applyAlignment="0" applyProtection="0"/>
    <xf numFmtId="0" fontId="4" fillId="2" borderId="2" applyNumberFormat="0" applyAlignment="0" applyProtection="0"/>
    <xf numFmtId="0" fontId="5" fillId="3" borderId="2" applyNumberFormat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7" fillId="3" borderId="48" applyNumberFormat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" fillId="25" borderId="0"/>
  </cellStyleXfs>
  <cellXfs count="20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Fill="1"/>
    <xf numFmtId="2" fontId="0" fillId="0" borderId="0" xfId="0" applyNumberFormat="1"/>
    <xf numFmtId="0" fontId="5" fillId="3" borderId="2" xfId="5"/>
    <xf numFmtId="0" fontId="4" fillId="2" borderId="2" xfId="4"/>
    <xf numFmtId="9" fontId="0" fillId="0" borderId="0" xfId="0" applyNumberFormat="1"/>
    <xf numFmtId="2" fontId="0" fillId="0" borderId="0" xfId="0" applyNumberFormat="1" applyBorder="1"/>
    <xf numFmtId="2" fontId="0" fillId="0" borderId="7" xfId="0" applyNumberFormat="1" applyBorder="1"/>
    <xf numFmtId="2" fontId="0" fillId="0" borderId="8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2" fontId="0" fillId="0" borderId="11" xfId="0" applyNumberFormat="1" applyBorder="1"/>
    <xf numFmtId="9" fontId="0" fillId="0" borderId="7" xfId="2" applyFont="1" applyBorder="1"/>
    <xf numFmtId="9" fontId="0" fillId="0" borderId="0" xfId="2" applyFont="1" applyBorder="1"/>
    <xf numFmtId="9" fontId="0" fillId="0" borderId="8" xfId="2" applyFont="1" applyBorder="1"/>
    <xf numFmtId="9" fontId="0" fillId="0" borderId="9" xfId="2" applyFont="1" applyBorder="1"/>
    <xf numFmtId="9" fontId="0" fillId="0" borderId="10" xfId="2" applyFont="1" applyBorder="1"/>
    <xf numFmtId="9" fontId="0" fillId="0" borderId="11" xfId="2" applyFont="1" applyBorder="1"/>
    <xf numFmtId="164" fontId="0" fillId="0" borderId="0" xfId="0" applyNumberFormat="1"/>
    <xf numFmtId="0" fontId="6" fillId="0" borderId="0" xfId="0" applyFont="1" applyAlignment="1">
      <alignment horizontal="center" vertical="center" wrapText="1"/>
    </xf>
    <xf numFmtId="43" fontId="0" fillId="0" borderId="0" xfId="1" applyFont="1"/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9" fontId="0" fillId="0" borderId="0" xfId="2" applyFont="1"/>
    <xf numFmtId="0" fontId="0" fillId="0" borderId="0" xfId="0" applyAlignment="1">
      <alignment horizontal="center" vertical="center"/>
    </xf>
    <xf numFmtId="0" fontId="0" fillId="5" borderId="0" xfId="0" applyFill="1"/>
    <xf numFmtId="0" fontId="0" fillId="6" borderId="0" xfId="0" applyFill="1"/>
    <xf numFmtId="0" fontId="0" fillId="6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7" borderId="0" xfId="0" applyFill="1"/>
    <xf numFmtId="0" fontId="0" fillId="7" borderId="0" xfId="0" applyFill="1" applyAlignment="1">
      <alignment horizontal="center" vertical="center"/>
    </xf>
    <xf numFmtId="0" fontId="0" fillId="8" borderId="0" xfId="0" applyFill="1"/>
    <xf numFmtId="0" fontId="0" fillId="8" borderId="0" xfId="0" applyFill="1" applyAlignment="1">
      <alignment horizontal="center" vertical="center"/>
    </xf>
    <xf numFmtId="0" fontId="0" fillId="10" borderId="0" xfId="0" applyFill="1"/>
    <xf numFmtId="0" fontId="0" fillId="1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/>
    </xf>
    <xf numFmtId="0" fontId="0" fillId="14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5" borderId="0" xfId="0" applyFill="1" applyAlignment="1">
      <alignment horizontal="center"/>
    </xf>
    <xf numFmtId="0" fontId="0" fillId="10" borderId="0" xfId="0" applyFill="1" applyAlignment="1">
      <alignment horizontal="center"/>
    </xf>
    <xf numFmtId="0" fontId="0" fillId="16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10" borderId="30" xfId="0" applyFill="1" applyBorder="1" applyAlignment="1">
      <alignment horizontal="center" vertical="center"/>
    </xf>
    <xf numFmtId="0" fontId="0" fillId="17" borderId="24" xfId="0" applyFill="1" applyBorder="1" applyAlignment="1">
      <alignment horizontal="center" vertical="center"/>
    </xf>
    <xf numFmtId="0" fontId="0" fillId="17" borderId="22" xfId="0" applyFill="1" applyBorder="1" applyAlignment="1">
      <alignment horizontal="center" vertical="center"/>
    </xf>
    <xf numFmtId="0" fontId="0" fillId="17" borderId="26" xfId="0" applyFill="1" applyBorder="1" applyAlignment="1">
      <alignment horizontal="center" vertical="center"/>
    </xf>
    <xf numFmtId="0" fontId="0" fillId="17" borderId="34" xfId="0" applyFill="1" applyBorder="1" applyAlignment="1">
      <alignment horizontal="center" vertical="center"/>
    </xf>
    <xf numFmtId="0" fontId="0" fillId="17" borderId="30" xfId="0" applyFill="1" applyBorder="1" applyAlignment="1">
      <alignment horizontal="center" vertical="center"/>
    </xf>
    <xf numFmtId="0" fontId="0" fillId="18" borderId="24" xfId="0" applyFill="1" applyBorder="1" applyAlignment="1">
      <alignment horizontal="center" vertical="center"/>
    </xf>
    <xf numFmtId="0" fontId="0" fillId="18" borderId="33" xfId="0" applyFill="1" applyBorder="1" applyAlignment="1">
      <alignment horizontal="center" vertical="center"/>
    </xf>
    <xf numFmtId="0" fontId="0" fillId="18" borderId="35" xfId="0" applyFill="1" applyBorder="1" applyAlignment="1">
      <alignment horizontal="center" vertical="center"/>
    </xf>
    <xf numFmtId="0" fontId="0" fillId="18" borderId="25" xfId="0" applyFill="1" applyBorder="1" applyAlignment="1">
      <alignment horizontal="center" vertical="center"/>
    </xf>
    <xf numFmtId="0" fontId="0" fillId="5" borderId="24" xfId="0" applyFill="1" applyBorder="1" applyAlignment="1">
      <alignment horizontal="center" vertical="center"/>
    </xf>
    <xf numFmtId="0" fontId="0" fillId="5" borderId="30" xfId="0" applyFill="1" applyBorder="1" applyAlignment="1">
      <alignment horizontal="center" vertical="center"/>
    </xf>
    <xf numFmtId="0" fontId="0" fillId="5" borderId="33" xfId="0" applyFill="1" applyBorder="1" applyAlignment="1">
      <alignment horizontal="center" vertical="center"/>
    </xf>
    <xf numFmtId="0" fontId="0" fillId="5" borderId="34" xfId="0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0" fontId="0" fillId="19" borderId="25" xfId="0" applyFill="1" applyBorder="1" applyAlignment="1">
      <alignment horizontal="center" vertical="center"/>
    </xf>
    <xf numFmtId="0" fontId="0" fillId="19" borderId="26" xfId="0" applyFill="1" applyBorder="1" applyAlignment="1">
      <alignment horizontal="center" vertical="center"/>
    </xf>
    <xf numFmtId="0" fontId="0" fillId="19" borderId="35" xfId="0" applyFill="1" applyBorder="1" applyAlignment="1">
      <alignment horizontal="center" vertical="center"/>
    </xf>
    <xf numFmtId="0" fontId="0" fillId="19" borderId="24" xfId="0" applyFill="1" applyBorder="1" applyAlignment="1">
      <alignment horizontal="center" vertical="center"/>
    </xf>
    <xf numFmtId="0" fontId="0" fillId="19" borderId="30" xfId="0" applyFill="1" applyBorder="1" applyAlignment="1">
      <alignment horizontal="center" vertical="center"/>
    </xf>
    <xf numFmtId="0" fontId="0" fillId="19" borderId="22" xfId="0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21" borderId="0" xfId="0" applyFill="1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Alignment="1">
      <alignment horizontal="center"/>
    </xf>
    <xf numFmtId="0" fontId="0" fillId="23" borderId="0" xfId="0" applyFill="1" applyAlignment="1">
      <alignment horizontal="center" vertical="center"/>
    </xf>
    <xf numFmtId="0" fontId="0" fillId="23" borderId="25" xfId="0" applyFill="1" applyBorder="1" applyAlignment="1">
      <alignment horizontal="center" vertical="center"/>
    </xf>
    <xf numFmtId="0" fontId="0" fillId="23" borderId="35" xfId="0" applyFill="1" applyBorder="1" applyAlignment="1">
      <alignment horizontal="center" vertical="center"/>
    </xf>
    <xf numFmtId="0" fontId="12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6" fillId="11" borderId="0" xfId="0" applyFont="1" applyFill="1" applyAlignment="1" applyProtection="1">
      <alignment horizontal="center" vertical="center"/>
      <protection locked="0"/>
    </xf>
    <xf numFmtId="0" fontId="6" fillId="12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3" fillId="0" borderId="0" xfId="0" applyFont="1" applyFill="1" applyAlignment="1" applyProtection="1">
      <alignment horizontal="center"/>
      <protection locked="0"/>
    </xf>
    <xf numFmtId="0" fontId="0" fillId="24" borderId="0" xfId="0" applyFill="1" applyAlignment="1">
      <alignment horizontal="center" vertical="center"/>
    </xf>
    <xf numFmtId="0" fontId="0" fillId="21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24" borderId="0" xfId="0" applyFill="1" applyBorder="1"/>
    <xf numFmtId="0" fontId="0" fillId="24" borderId="45" xfId="0" applyFont="1" applyFill="1" applyBorder="1"/>
    <xf numFmtId="0" fontId="0" fillId="0" borderId="0" xfId="0" applyFill="1" applyBorder="1" applyAlignment="1">
      <alignment horizontal="center" vertical="center"/>
    </xf>
    <xf numFmtId="0" fontId="0" fillId="23" borderId="0" xfId="0" applyFill="1"/>
    <xf numFmtId="0" fontId="0" fillId="0" borderId="0" xfId="0" applyBorder="1" applyAlignment="1">
      <alignment horizontal="center"/>
    </xf>
    <xf numFmtId="0" fontId="0" fillId="24" borderId="47" xfId="0" applyFont="1" applyFill="1" applyBorder="1"/>
    <xf numFmtId="0" fontId="16" fillId="13" borderId="0" xfId="0" applyFont="1" applyFill="1" applyAlignment="1" applyProtection="1">
      <alignment horizontal="center"/>
      <protection locked="0"/>
    </xf>
    <xf numFmtId="0" fontId="16" fillId="13" borderId="46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23" borderId="30" xfId="0" applyFill="1" applyBorder="1" applyAlignment="1">
      <alignment horizontal="center" vertical="center"/>
    </xf>
    <xf numFmtId="0" fontId="0" fillId="23" borderId="24" xfId="0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19" borderId="25" xfId="0" applyFill="1" applyBorder="1" applyAlignment="1">
      <alignment horizontal="center" vertical="center"/>
    </xf>
    <xf numFmtId="0" fontId="0" fillId="19" borderId="34" xfId="0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19" borderId="35" xfId="0" applyFill="1" applyBorder="1" applyAlignment="1">
      <alignment horizontal="center" vertical="center"/>
    </xf>
    <xf numFmtId="0" fontId="0" fillId="19" borderId="26" xfId="0" applyFill="1" applyBorder="1" applyAlignment="1">
      <alignment horizontal="center" vertical="center"/>
    </xf>
    <xf numFmtId="0" fontId="14" fillId="20" borderId="17" xfId="0" applyFont="1" applyFill="1" applyBorder="1" applyAlignment="1">
      <alignment horizontal="center"/>
    </xf>
    <xf numFmtId="0" fontId="14" fillId="20" borderId="18" xfId="0" applyFont="1" applyFill="1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4" fillId="20" borderId="39" xfId="0" applyFont="1" applyFill="1" applyBorder="1" applyAlignment="1">
      <alignment horizontal="center"/>
    </xf>
    <xf numFmtId="0" fontId="0" fillId="19" borderId="30" xfId="0" applyFill="1" applyBorder="1" applyAlignment="1">
      <alignment horizontal="center" vertical="center"/>
    </xf>
    <xf numFmtId="0" fontId="0" fillId="19" borderId="24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9" borderId="19" xfId="0" applyFill="1" applyBorder="1" applyAlignment="1">
      <alignment horizontal="left"/>
    </xf>
    <xf numFmtId="0" fontId="0" fillId="10" borderId="19" xfId="0" applyFill="1" applyBorder="1" applyAlignment="1">
      <alignment horizontal="left"/>
    </xf>
    <xf numFmtId="0" fontId="0" fillId="19" borderId="19" xfId="0" applyFill="1" applyBorder="1" applyAlignment="1">
      <alignment horizontal="left"/>
    </xf>
    <xf numFmtId="0" fontId="0" fillId="5" borderId="19" xfId="0" applyFill="1" applyBorder="1" applyAlignment="1">
      <alignment horizontal="left"/>
    </xf>
    <xf numFmtId="0" fontId="0" fillId="17" borderId="19" xfId="0" applyFill="1" applyBorder="1" applyAlignment="1">
      <alignment horizontal="left"/>
    </xf>
    <xf numFmtId="0" fontId="0" fillId="18" borderId="19" xfId="0" applyFill="1" applyBorder="1" applyAlignment="1">
      <alignment horizontal="left"/>
    </xf>
    <xf numFmtId="0" fontId="7" fillId="4" borderId="3" xfId="3" applyFont="1" applyFill="1" applyBorder="1" applyAlignment="1">
      <alignment horizontal="center"/>
    </xf>
    <xf numFmtId="0" fontId="7" fillId="4" borderId="12" xfId="3" applyFont="1" applyFill="1" applyBorder="1" applyAlignment="1">
      <alignment horizontal="center"/>
    </xf>
    <xf numFmtId="0" fontId="7" fillId="4" borderId="13" xfId="3" applyFont="1" applyFill="1" applyBorder="1" applyAlignment="1">
      <alignment horizontal="center"/>
    </xf>
    <xf numFmtId="0" fontId="7" fillId="4" borderId="14" xfId="3" applyFont="1" applyFill="1" applyBorder="1" applyAlignment="1">
      <alignment horizontal="center"/>
    </xf>
    <xf numFmtId="0" fontId="0" fillId="0" borderId="49" xfId="0" applyFont="1" applyBorder="1" applyAlignment="1">
      <alignment horizontal="center"/>
    </xf>
    <xf numFmtId="0" fontId="0" fillId="0" borderId="0" xfId="0" applyFill="1" applyAlignment="1">
      <alignment horizontal="center"/>
    </xf>
    <xf numFmtId="0" fontId="0" fillId="24" borderId="49" xfId="0" applyFont="1" applyFill="1" applyBorder="1" applyAlignment="1">
      <alignment horizontal="center"/>
    </xf>
    <xf numFmtId="0" fontId="0" fillId="0" borderId="50" xfId="0" applyBorder="1" applyAlignment="1">
      <alignment horizontal="center" vertical="center"/>
    </xf>
    <xf numFmtId="0" fontId="0" fillId="23" borderId="26" xfId="0" applyFill="1" applyBorder="1" applyAlignment="1">
      <alignment horizontal="center" vertical="center"/>
    </xf>
    <xf numFmtId="0" fontId="0" fillId="18" borderId="26" xfId="0" applyFill="1" applyBorder="1" applyAlignment="1">
      <alignment horizontal="center" vertical="center"/>
    </xf>
    <xf numFmtId="0" fontId="0" fillId="18" borderId="34" xfId="0" applyFill="1" applyBorder="1" applyAlignment="1">
      <alignment horizontal="center" vertical="center"/>
    </xf>
    <xf numFmtId="0" fontId="0" fillId="18" borderId="35" xfId="0" applyFill="1" applyBorder="1" applyAlignment="1">
      <alignment horizontal="center" vertical="center"/>
    </xf>
    <xf numFmtId="0" fontId="0" fillId="18" borderId="26" xfId="0" applyFill="1" applyBorder="1" applyAlignment="1">
      <alignment horizontal="center" vertical="center"/>
    </xf>
    <xf numFmtId="0" fontId="0" fillId="17" borderId="25" xfId="0" applyFill="1" applyBorder="1" applyAlignment="1">
      <alignment horizontal="center" vertical="center"/>
    </xf>
    <xf numFmtId="0" fontId="0" fillId="10" borderId="34" xfId="0" applyFill="1" applyBorder="1" applyAlignment="1">
      <alignment horizontal="center" vertical="center"/>
    </xf>
    <xf numFmtId="0" fontId="0" fillId="17" borderId="35" xfId="0" applyFill="1" applyBorder="1" applyAlignment="1">
      <alignment horizontal="center" vertical="center"/>
    </xf>
    <xf numFmtId="0" fontId="0" fillId="17" borderId="26" xfId="0" applyFill="1" applyBorder="1" applyAlignment="1">
      <alignment horizontal="center" vertical="center"/>
    </xf>
    <xf numFmtId="0" fontId="0" fillId="10" borderId="25" xfId="0" applyFill="1" applyBorder="1" applyAlignment="1">
      <alignment horizontal="center" vertical="center"/>
    </xf>
    <xf numFmtId="0" fontId="0" fillId="10" borderId="35" xfId="0" applyFill="1" applyBorder="1" applyAlignment="1">
      <alignment horizontal="center" vertical="center"/>
    </xf>
    <xf numFmtId="0" fontId="0" fillId="10" borderId="25" xfId="0" applyFill="1" applyBorder="1" applyAlignment="1">
      <alignment horizontal="center" vertical="center"/>
    </xf>
    <xf numFmtId="0" fontId="0" fillId="10" borderId="34" xfId="0" applyFill="1" applyBorder="1" applyAlignment="1">
      <alignment horizontal="center" vertical="center"/>
    </xf>
    <xf numFmtId="0" fontId="0" fillId="23" borderId="35" xfId="0" applyFill="1" applyBorder="1" applyAlignment="1">
      <alignment horizontal="center" vertical="center"/>
    </xf>
    <xf numFmtId="0" fontId="0" fillId="23" borderId="26" xfId="0" applyFill="1" applyBorder="1" applyAlignment="1">
      <alignment horizontal="center" vertical="center"/>
    </xf>
    <xf numFmtId="0" fontId="0" fillId="23" borderId="25" xfId="0" applyFill="1" applyBorder="1" applyAlignment="1">
      <alignment horizontal="center" vertical="center"/>
    </xf>
    <xf numFmtId="0" fontId="14" fillId="20" borderId="51" xfId="0" applyFont="1" applyFill="1" applyBorder="1" applyAlignment="1">
      <alignment horizontal="center"/>
    </xf>
    <xf numFmtId="0" fontId="14" fillId="20" borderId="52" xfId="0" applyFont="1" applyFill="1" applyBorder="1" applyAlignment="1">
      <alignment horizontal="center"/>
    </xf>
    <xf numFmtId="0" fontId="14" fillId="20" borderId="53" xfId="0" applyFont="1" applyFill="1" applyBorder="1" applyAlignment="1">
      <alignment horizontal="center"/>
    </xf>
    <xf numFmtId="0" fontId="0" fillId="22" borderId="20" xfId="0" applyFill="1" applyBorder="1" applyAlignment="1">
      <alignment horizontal="center" vertical="center"/>
    </xf>
    <xf numFmtId="0" fontId="0" fillId="22" borderId="30" xfId="0" applyFill="1" applyBorder="1" applyAlignment="1">
      <alignment horizontal="center" vertical="center"/>
    </xf>
    <xf numFmtId="0" fontId="0" fillId="22" borderId="24" xfId="0" applyFill="1" applyBorder="1" applyAlignment="1">
      <alignment horizontal="center" vertical="center"/>
    </xf>
    <xf numFmtId="0" fontId="0" fillId="23" borderId="20" xfId="0" applyFill="1" applyBorder="1" applyAlignment="1">
      <alignment horizontal="center" vertical="center"/>
    </xf>
    <xf numFmtId="0" fontId="0" fillId="23" borderId="33" xfId="0" applyFill="1" applyBorder="1" applyAlignment="1">
      <alignment horizontal="center" vertical="center"/>
    </xf>
    <xf numFmtId="0" fontId="0" fillId="24" borderId="27" xfId="0" applyFill="1" applyBorder="1" applyAlignment="1">
      <alignment horizontal="center" vertical="center"/>
    </xf>
    <xf numFmtId="0" fontId="0" fillId="24" borderId="24" xfId="0" applyFill="1" applyBorder="1" applyAlignment="1">
      <alignment horizontal="center" vertical="center"/>
    </xf>
    <xf numFmtId="0" fontId="0" fillId="22" borderId="27" xfId="0" applyFill="1" applyBorder="1" applyAlignment="1">
      <alignment horizontal="center" vertical="center"/>
    </xf>
    <xf numFmtId="0" fontId="0" fillId="10" borderId="27" xfId="0" applyFill="1" applyBorder="1" applyAlignment="1">
      <alignment horizontal="center" vertical="center"/>
    </xf>
    <xf numFmtId="0" fontId="0" fillId="23" borderId="27" xfId="0" applyFill="1" applyBorder="1" applyAlignment="1">
      <alignment horizontal="center" vertical="center"/>
    </xf>
    <xf numFmtId="0" fontId="0" fillId="10" borderId="20" xfId="0" applyFill="1" applyBorder="1" applyAlignment="1">
      <alignment horizontal="center" vertical="center"/>
    </xf>
    <xf numFmtId="0" fontId="0" fillId="24" borderId="20" xfId="0" applyFill="1" applyBorder="1" applyAlignment="1">
      <alignment horizontal="center" vertical="center"/>
    </xf>
    <xf numFmtId="0" fontId="0" fillId="24" borderId="30" xfId="0" applyFill="1" applyBorder="1" applyAlignment="1">
      <alignment horizontal="center" vertical="center"/>
    </xf>
    <xf numFmtId="0" fontId="0" fillId="10" borderId="24" xfId="0" applyFill="1" applyBorder="1" applyAlignment="1">
      <alignment horizontal="center" vertical="center"/>
    </xf>
    <xf numFmtId="0" fontId="2" fillId="25" borderId="54" xfId="83" applyBorder="1"/>
    <xf numFmtId="0" fontId="2" fillId="25" borderId="55" xfId="83" applyBorder="1"/>
    <xf numFmtId="0" fontId="0" fillId="0" borderId="55" xfId="0" applyBorder="1"/>
    <xf numFmtId="0" fontId="18" fillId="3" borderId="56" xfId="72" applyFont="1" applyBorder="1" applyAlignment="1">
      <alignment vertical="center"/>
    </xf>
    <xf numFmtId="0" fontId="18" fillId="3" borderId="57" xfId="72" applyFont="1" applyBorder="1" applyAlignment="1">
      <alignment vertical="center"/>
    </xf>
    <xf numFmtId="0" fontId="2" fillId="25" borderId="58" xfId="83" applyBorder="1"/>
    <xf numFmtId="0" fontId="2" fillId="25" borderId="0" xfId="83" applyBorder="1"/>
    <xf numFmtId="0" fontId="0" fillId="0" borderId="0" xfId="0" applyBorder="1"/>
    <xf numFmtId="0" fontId="18" fillId="3" borderId="48" xfId="72" applyFont="1" applyBorder="1" applyAlignment="1">
      <alignment vertical="center"/>
    </xf>
    <xf numFmtId="0" fontId="18" fillId="3" borderId="59" xfId="72" applyFont="1" applyBorder="1" applyAlignment="1">
      <alignment vertical="center"/>
    </xf>
    <xf numFmtId="0" fontId="0" fillId="0" borderId="58" xfId="0" applyBorder="1"/>
    <xf numFmtId="0" fontId="5" fillId="3" borderId="2" xfId="5" applyBorder="1" applyAlignment="1">
      <alignment horizontal="center"/>
    </xf>
    <xf numFmtId="0" fontId="5" fillId="3" borderId="2" xfId="5" applyBorder="1" applyAlignment="1">
      <alignment horizontal="center" wrapText="1"/>
    </xf>
    <xf numFmtId="0" fontId="5" fillId="3" borderId="2" xfId="5" applyBorder="1" applyAlignment="1">
      <alignment horizontal="center" vertical="center"/>
    </xf>
    <xf numFmtId="0" fontId="5" fillId="3" borderId="2" xfId="5" applyBorder="1" applyAlignment="1">
      <alignment horizontal="center" vertical="center" wrapText="1"/>
    </xf>
    <xf numFmtId="0" fontId="5" fillId="3" borderId="2" xfId="5" applyBorder="1" applyAlignment="1">
      <alignment horizontal="center"/>
    </xf>
    <xf numFmtId="0" fontId="0" fillId="0" borderId="0" xfId="0" applyAlignment="1">
      <alignment vertical="center"/>
    </xf>
    <xf numFmtId="10" fontId="0" fillId="0" borderId="0" xfId="0" applyNumberFormat="1"/>
  </cellXfs>
  <cellStyles count="84">
    <cellStyle name="Calcul" xfId="5" builtinId="22"/>
    <cellStyle name="Entrée" xfId="4" builtinId="20"/>
    <cellStyle name="impossible" xfId="83"/>
    <cellStyle name="Lien hypertexte" xfId="6" builtinId="8" hidden="1"/>
    <cellStyle name="Lien hypertexte" xfId="8" builtinId="8" hidden="1"/>
    <cellStyle name="Lien hypertexte" xfId="10" builtinId="8" hidden="1"/>
    <cellStyle name="Lien hypertexte" xfId="12" builtinId="8" hidden="1"/>
    <cellStyle name="Lien hypertexte" xfId="14" builtinId="8" hidden="1"/>
    <cellStyle name="Lien hypertexte" xfId="16" builtinId="8" hidden="1"/>
    <cellStyle name="Lien hypertexte" xfId="18" builtinId="8" hidden="1"/>
    <cellStyle name="Lien hypertexte" xfId="20" builtinId="8" hidden="1"/>
    <cellStyle name="Lien hypertexte" xfId="22" builtinId="8" hidden="1"/>
    <cellStyle name="Lien hypertexte" xfId="24" builtinId="8" hidden="1"/>
    <cellStyle name="Lien hypertexte" xfId="26" builtinId="8" hidden="1"/>
    <cellStyle name="Lien hypertexte" xfId="28" builtinId="8" hidden="1"/>
    <cellStyle name="Lien hypertexte" xfId="30" builtinId="8" hidden="1"/>
    <cellStyle name="Lien hypertexte" xfId="32" builtinId="8" hidden="1"/>
    <cellStyle name="Lien hypertexte" xfId="34" builtinId="8" hidden="1"/>
    <cellStyle name="Lien hypertexte" xfId="36" builtinId="8" hidden="1"/>
    <cellStyle name="Lien hypertexte" xfId="38" builtinId="8" hidden="1"/>
    <cellStyle name="Lien hypertexte" xfId="40" builtinId="8" hidden="1"/>
    <cellStyle name="Lien hypertexte" xfId="42" builtinId="8" hidden="1"/>
    <cellStyle name="Lien hypertexte" xfId="44" builtinId="8" hidden="1"/>
    <cellStyle name="Lien hypertexte" xfId="46" builtinId="8" hidden="1"/>
    <cellStyle name="Lien hypertexte" xfId="48" builtinId="8" hidden="1"/>
    <cellStyle name="Lien hypertexte" xfId="50" builtinId="8" hidden="1"/>
    <cellStyle name="Lien hypertexte" xfId="52" builtinId="8" hidden="1"/>
    <cellStyle name="Lien hypertexte" xfId="54" builtinId="8" hidden="1"/>
    <cellStyle name="Lien hypertexte" xfId="56" builtinId="8" hidden="1"/>
    <cellStyle name="Lien hypertexte" xfId="58" builtinId="8" hidden="1"/>
    <cellStyle name="Lien hypertexte" xfId="60" builtinId="8" hidden="1"/>
    <cellStyle name="Lien hypertexte" xfId="62" builtinId="8" hidden="1"/>
    <cellStyle name="Lien hypertexte" xfId="64" builtinId="8" hidden="1"/>
    <cellStyle name="Lien hypertexte" xfId="66" builtinId="8" hidden="1"/>
    <cellStyle name="Lien hypertexte" xfId="68" builtinId="8" hidden="1"/>
    <cellStyle name="Lien hypertexte" xfId="70" builtinId="8" hidden="1"/>
    <cellStyle name="Lien hypertexte" xfId="73" builtinId="8" hidden="1"/>
    <cellStyle name="Lien hypertexte" xfId="75" builtinId="8" hidden="1"/>
    <cellStyle name="Lien hypertexte" xfId="77" builtinId="8" hidden="1"/>
    <cellStyle name="Lien hypertexte" xfId="79" builtinId="8" hidden="1"/>
    <cellStyle name="Lien hypertexte" xfId="81" builtinId="8" hidden="1"/>
    <cellStyle name="Lien hypertexte visité" xfId="7" builtinId="9" hidden="1"/>
    <cellStyle name="Lien hypertexte visité" xfId="9" builtinId="9" hidden="1"/>
    <cellStyle name="Lien hypertexte visité" xfId="11" builtinId="9" hidden="1"/>
    <cellStyle name="Lien hypertexte visité" xfId="13" builtinId="9" hidden="1"/>
    <cellStyle name="Lien hypertexte visité" xfId="15" builtinId="9" hidden="1"/>
    <cellStyle name="Lien hypertexte visité" xfId="17" builtinId="9" hidden="1"/>
    <cellStyle name="Lien hypertexte visité" xfId="19" builtinId="9" hidden="1"/>
    <cellStyle name="Lien hypertexte visité" xfId="21" builtinId="9" hidden="1"/>
    <cellStyle name="Lien hypertexte visité" xfId="23" builtinId="9" hidden="1"/>
    <cellStyle name="Lien hypertexte visité" xfId="25" builtinId="9" hidden="1"/>
    <cellStyle name="Lien hypertexte visité" xfId="27" builtinId="9" hidden="1"/>
    <cellStyle name="Lien hypertexte visité" xfId="29" builtinId="9" hidden="1"/>
    <cellStyle name="Lien hypertexte visité" xfId="31" builtinId="9" hidden="1"/>
    <cellStyle name="Lien hypertexte visité" xfId="33" builtinId="9" hidden="1"/>
    <cellStyle name="Lien hypertexte visité" xfId="35" builtinId="9" hidden="1"/>
    <cellStyle name="Lien hypertexte visité" xfId="37" builtinId="9" hidden="1"/>
    <cellStyle name="Lien hypertexte visité" xfId="39" builtinId="9" hidden="1"/>
    <cellStyle name="Lien hypertexte visité" xfId="41" builtinId="9" hidden="1"/>
    <cellStyle name="Lien hypertexte visité" xfId="43" builtinId="9" hidden="1"/>
    <cellStyle name="Lien hypertexte visité" xfId="45" builtinId="9" hidden="1"/>
    <cellStyle name="Lien hypertexte visité" xfId="47" builtinId="9" hidden="1"/>
    <cellStyle name="Lien hypertexte visité" xfId="49" builtinId="9" hidden="1"/>
    <cellStyle name="Lien hypertexte visité" xfId="51" builtinId="9" hidden="1"/>
    <cellStyle name="Lien hypertexte visité" xfId="53" builtinId="9" hidden="1"/>
    <cellStyle name="Lien hypertexte visité" xfId="55" builtinId="9" hidden="1"/>
    <cellStyle name="Lien hypertexte visité" xfId="57" builtinId="9" hidden="1"/>
    <cellStyle name="Lien hypertexte visité" xfId="59" builtinId="9" hidden="1"/>
    <cellStyle name="Lien hypertexte visité" xfId="61" builtinId="9" hidden="1"/>
    <cellStyle name="Lien hypertexte visité" xfId="63" builtinId="9" hidden="1"/>
    <cellStyle name="Lien hypertexte visité" xfId="65" builtinId="9" hidden="1"/>
    <cellStyle name="Lien hypertexte visité" xfId="67" builtinId="9" hidden="1"/>
    <cellStyle name="Lien hypertexte visité" xfId="69" builtinId="9" hidden="1"/>
    <cellStyle name="Lien hypertexte visité" xfId="71" builtinId="9" hidden="1"/>
    <cellStyle name="Lien hypertexte visité" xfId="74" builtinId="9" hidden="1"/>
    <cellStyle name="Lien hypertexte visité" xfId="76" builtinId="9" hidden="1"/>
    <cellStyle name="Lien hypertexte visité" xfId="78" builtinId="9" hidden="1"/>
    <cellStyle name="Lien hypertexte visité" xfId="80" builtinId="9" hidden="1"/>
    <cellStyle name="Lien hypertexte visité" xfId="82" builtinId="9" hidden="1"/>
    <cellStyle name="Milliers" xfId="1" builtinId="3"/>
    <cellStyle name="Normal" xfId="0" builtinId="0"/>
    <cellStyle name="Pourcentage" xfId="2" builtinId="5"/>
    <cellStyle name="Sortie" xfId="72" builtinId="21"/>
    <cellStyle name="Titre 1" xfId="3" builtinId="16"/>
  </cellStyles>
  <dxfs count="101">
    <dxf>
      <alignment horizontal="center" vertical="center" textRotation="0" indent="0" justifyLastLine="0" shrinkToFit="0" readingOrder="0"/>
    </dxf>
    <dxf>
      <numFmt numFmtId="14" formatCode="0.00%"/>
    </dxf>
    <dxf>
      <numFmt numFmtId="14" formatCode="0.00%"/>
    </dxf>
    <dxf>
      <numFmt numFmtId="14" formatCode="0.00%"/>
    </dxf>
    <dxf>
      <alignment horizontal="center" vertical="center" textRotation="0" indent="0" justifyLastLine="0" shrinkToFit="0" readingOrder="0"/>
    </dxf>
    <dxf>
      <numFmt numFmtId="2" formatCode="0.00"/>
    </dxf>
    <dxf>
      <numFmt numFmtId="2" formatCode="0.00"/>
    </dxf>
    <dxf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0" formatCode="General"/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0"/>
        <name val="Calibri"/>
        <scheme val="none"/>
      </font>
      <numFmt numFmtId="0" formatCode="General"/>
      <fill>
        <patternFill patternType="solid">
          <fgColor indexed="64"/>
          <bgColor theme="1" tint="4.9989318521683403E-2"/>
        </patternFill>
      </fill>
      <alignment horizontal="center" vertical="bottom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3" formatCode="0%"/>
      <border diagonalUp="0" diagonalDown="0">
        <left/>
        <right style="thick">
          <color theme="3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</dxf>
    <dxf>
      <numFmt numFmtId="13" formatCode="0%"/>
    </dxf>
    <dxf>
      <numFmt numFmtId="13" formatCode="0%"/>
    </dxf>
    <dxf>
      <numFmt numFmtId="13" formatCode="0%"/>
      <border diagonalUp="0" diagonalDown="0">
        <left style="thick">
          <color theme="3"/>
        </left>
        <right/>
        <top/>
        <bottom/>
        <vertical/>
        <horizontal/>
      </border>
    </dxf>
    <dxf>
      <numFmt numFmtId="2" formatCode="0.00"/>
      <border diagonalUp="0" diagonalDown="0">
        <left/>
        <right style="thick">
          <color theme="3"/>
        </right>
        <top/>
        <bottom/>
        <vertical/>
        <horizontal/>
      </border>
    </dxf>
    <dxf>
      <numFmt numFmtId="2" formatCode="0.00"/>
    </dxf>
    <dxf>
      <numFmt numFmtId="2" formatCode="0.00"/>
      <border diagonalUp="0" diagonalDown="0">
        <left style="thick">
          <color theme="3"/>
        </left>
        <right/>
        <top/>
        <bottom/>
        <vertical/>
        <horizontal/>
      </border>
    </dxf>
    <dxf>
      <numFmt numFmtId="2" formatCode="0.00"/>
    </dxf>
    <dxf>
      <alignment horizontal="center" vertical="center" textRotation="0" wrapText="1" indent="0" justifyLastLine="0" shrinkToFit="0" readingOrder="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0"/>
        <name val="Calibri"/>
        <scheme val="minor"/>
      </font>
      <numFmt numFmtId="0" formatCode="General"/>
      <fill>
        <patternFill patternType="solid">
          <fgColor indexed="64"/>
          <bgColor theme="1" tint="4.9989318521683403E-2"/>
        </patternFill>
      </fill>
      <alignment horizontal="center" vertical="bottom" textRotation="0" wrapText="0" indent="0" justifyLastLine="0" shrinkToFit="0" readingOrder="0"/>
      <protection locked="0" hidden="0"/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numFmt numFmtId="0" formatCode="General"/>
      <fill>
        <patternFill patternType="none">
          <fgColor indexed="64"/>
          <bgColor theme="1" tint="4.9989318521683403E-2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1" tint="4.9989318521683403E-2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FF6600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FF6600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FF6600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FF6600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6600"/>
        </patternFill>
      </fill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indexed="64"/>
          <bgColor theme="1" tint="4.9989318521683403E-2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1" tint="4.9989318521683403E-2"/>
        </patternFill>
      </fill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FFC527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FFC527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FFC527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FFC527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FFC527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FFC527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FFC527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FFC527"/>
        </patternFill>
      </fill>
    </dxf>
    <dxf>
      <fill>
        <patternFill patternType="solid">
          <fgColor indexed="64"/>
          <bgColor rgb="FFFFC52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theme" Target="theme/theme1.xml"/><Relationship Id="rId12" Type="http://schemas.openxmlformats.org/officeDocument/2006/relationships/styles" Target="styles.xml"/><Relationship Id="rId13" Type="http://schemas.openxmlformats.org/officeDocument/2006/relationships/sharedStrings" Target="sharedStrings.xml"/><Relationship Id="rId14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965200</xdr:colOff>
      <xdr:row>25</xdr:row>
      <xdr:rowOff>101600</xdr:rowOff>
    </xdr:from>
    <xdr:ext cx="3771900" cy="1107996"/>
    <xdr:sp macro="" textlink="">
      <xdr:nvSpPr>
        <xdr:cNvPr id="2" name="ZoneTexte 1"/>
        <xdr:cNvSpPr txBox="1"/>
      </xdr:nvSpPr>
      <xdr:spPr>
        <a:xfrm>
          <a:off x="3784600" y="4711700"/>
          <a:ext cx="3771900" cy="1107996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FR" sz="1100"/>
            <a:t>comment ça marche : dans la feuille "arbre des technologies", les ressources désirées par technologies. </a:t>
          </a:r>
        </a:p>
        <a:p>
          <a:r>
            <a:rPr lang="fr-FR" sz="1100"/>
            <a:t>Mettez 0 lorsque vous avez obtenu cette technologie, cela se soustrait du total de la ressource obtenu dans la feuille "Ressources".</a:t>
          </a:r>
        </a:p>
        <a:p>
          <a:r>
            <a:rPr lang="fr-FR" sz="1100"/>
            <a:t>j'y ai ajouter un Total avec les ressources pour les GM.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477520</xdr:colOff>
      <xdr:row>38</xdr:row>
      <xdr:rowOff>0</xdr:rowOff>
    </xdr:from>
    <xdr:ext cx="7673896" cy="600164"/>
    <xdr:sp macro="" textlink="">
      <xdr:nvSpPr>
        <xdr:cNvPr id="2" name="ZoneTexte 1"/>
        <xdr:cNvSpPr txBox="1"/>
      </xdr:nvSpPr>
      <xdr:spPr>
        <a:xfrm>
          <a:off x="2326640" y="7711440"/>
          <a:ext cx="7673896" cy="600164"/>
        </a:xfrm>
        <a:prstGeom prst="rect">
          <a:avLst/>
        </a:prstGeom>
        <a:solidFill>
          <a:srgbClr val="D7E4B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100"/>
            <a:t>comment ça marche : dans la feuille "arbre des technologies", les ressources désirées par technologies. </a:t>
          </a:r>
        </a:p>
        <a:p>
          <a:r>
            <a:rPr lang="fr-FR" sz="1100"/>
            <a:t>Mettez 0 lorsque vous avez obtenu cette technologie, cela se soustrait du total de la ressource obtenu dans la feuille "Ressources".</a:t>
          </a:r>
        </a:p>
        <a:p>
          <a:r>
            <a:rPr lang="fr-FR" sz="1100"/>
            <a:t>j'y ai ajouter un Total avec les ressources pour les GM.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500Go/Downloads/comparatif-residentiel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bRécoltes"/>
      <sheetName val="fréquence"/>
      <sheetName val="général"/>
      <sheetName val="rendement"/>
      <sheetName val="comparatif-residentiels.xlsx"/>
    </sheetNames>
    <sheetDataSet>
      <sheetData sheetId="0">
        <row r="3">
          <cell r="B3">
            <v>8.3333333333333329E-2</v>
          </cell>
          <cell r="C3">
            <v>72</v>
          </cell>
        </row>
        <row r="4">
          <cell r="B4">
            <v>0.25</v>
          </cell>
          <cell r="C4">
            <v>24</v>
          </cell>
        </row>
        <row r="5">
          <cell r="B5">
            <v>1</v>
          </cell>
          <cell r="C5">
            <v>8</v>
          </cell>
        </row>
        <row r="6">
          <cell r="B6">
            <v>4</v>
          </cell>
          <cell r="C6">
            <v>3</v>
          </cell>
        </row>
        <row r="7">
          <cell r="B7">
            <v>8</v>
          </cell>
          <cell r="C7">
            <v>2</v>
          </cell>
        </row>
        <row r="8">
          <cell r="B8">
            <v>24</v>
          </cell>
          <cell r="C8">
            <v>1</v>
          </cell>
        </row>
      </sheetData>
      <sheetData sheetId="1">
        <row r="4">
          <cell r="F4">
            <v>72</v>
          </cell>
        </row>
        <row r="5">
          <cell r="F5">
            <v>24</v>
          </cell>
        </row>
        <row r="6">
          <cell r="F6">
            <v>3</v>
          </cell>
        </row>
        <row r="7">
          <cell r="F7">
            <v>8</v>
          </cell>
        </row>
        <row r="8">
          <cell r="F8">
            <v>24</v>
          </cell>
        </row>
        <row r="9">
          <cell r="F9">
            <v>3</v>
          </cell>
        </row>
        <row r="10">
          <cell r="F10">
            <v>8</v>
          </cell>
        </row>
        <row r="11">
          <cell r="F11">
            <v>2</v>
          </cell>
        </row>
        <row r="12">
          <cell r="F12">
            <v>8</v>
          </cell>
        </row>
        <row r="13">
          <cell r="F13">
            <v>2</v>
          </cell>
        </row>
        <row r="14">
          <cell r="F14">
            <v>8</v>
          </cell>
        </row>
        <row r="15">
          <cell r="F15">
            <v>2</v>
          </cell>
        </row>
        <row r="16">
          <cell r="F16">
            <v>8</v>
          </cell>
        </row>
        <row r="17">
          <cell r="F17">
            <v>2</v>
          </cell>
        </row>
        <row r="18">
          <cell r="F18">
            <v>1</v>
          </cell>
        </row>
      </sheetData>
      <sheetData sheetId="2">
        <row r="2">
          <cell r="G2">
            <v>18</v>
          </cell>
          <cell r="H2">
            <v>14</v>
          </cell>
        </row>
        <row r="3">
          <cell r="G3">
            <v>13</v>
          </cell>
          <cell r="H3">
            <v>22</v>
          </cell>
        </row>
        <row r="4">
          <cell r="G4">
            <v>10</v>
          </cell>
          <cell r="H4">
            <v>32</v>
          </cell>
        </row>
        <row r="5">
          <cell r="G5">
            <v>10.666666666666666</v>
          </cell>
          <cell r="H5">
            <v>27</v>
          </cell>
        </row>
        <row r="6">
          <cell r="G6">
            <v>18</v>
          </cell>
          <cell r="H6">
            <v>44</v>
          </cell>
        </row>
        <row r="7">
          <cell r="G7">
            <v>13.75</v>
          </cell>
          <cell r="H7">
            <v>73</v>
          </cell>
        </row>
        <row r="8">
          <cell r="G8">
            <v>20</v>
          </cell>
          <cell r="H8">
            <v>67</v>
          </cell>
        </row>
        <row r="9">
          <cell r="G9">
            <v>20</v>
          </cell>
          <cell r="H9">
            <v>111</v>
          </cell>
        </row>
        <row r="10">
          <cell r="G10">
            <v>30</v>
          </cell>
          <cell r="H10">
            <v>94</v>
          </cell>
        </row>
        <row r="11">
          <cell r="G11">
            <v>28.333333333333332</v>
          </cell>
          <cell r="H11">
            <v>156</v>
          </cell>
        </row>
        <row r="12">
          <cell r="G12">
            <v>40</v>
          </cell>
          <cell r="H12">
            <v>123</v>
          </cell>
        </row>
        <row r="13">
          <cell r="G13">
            <v>36.666666666666664</v>
          </cell>
          <cell r="H13">
            <v>205</v>
          </cell>
        </row>
        <row r="14">
          <cell r="G14">
            <v>60</v>
          </cell>
          <cell r="H14">
            <v>155</v>
          </cell>
        </row>
        <row r="15">
          <cell r="G15">
            <v>46.666666666666664</v>
          </cell>
          <cell r="H15">
            <v>207</v>
          </cell>
        </row>
        <row r="16">
          <cell r="G16">
            <v>56.25</v>
          </cell>
          <cell r="H16">
            <v>259</v>
          </cell>
        </row>
      </sheetData>
      <sheetData sheetId="3"/>
      <sheetData sheetId="4" refreshError="1"/>
    </sheetDataSet>
  </externalBook>
</externalLink>
</file>

<file path=xl/tables/table1.xml><?xml version="1.0" encoding="utf-8"?>
<table xmlns="http://schemas.openxmlformats.org/spreadsheetml/2006/main" id="7" name="Table7" displayName="Table7" ref="A2:K6" headerRowCount="0" totalsRowShown="0">
  <tableColumns count="11">
    <tableColumn id="1" name="Colonne1" headerRowDxfId="100" dataDxfId="99"/>
    <tableColumn id="2" name="Colonne2" headerRowDxfId="98" dataDxfId="97"/>
    <tableColumn id="3" name="Colonne3" headerRowDxfId="96" dataDxfId="95"/>
    <tableColumn id="4" name="Colonne4" headerRowDxfId="94" dataDxfId="93"/>
    <tableColumn id="5" name="Colonne5" headerRowDxfId="92" dataDxfId="91"/>
    <tableColumn id="6" name="Colonne6" headerRowDxfId="90" dataDxfId="89"/>
    <tableColumn id="7" name="Colonne7" headerRowDxfId="88" dataDxfId="87"/>
    <tableColumn id="8" name="Colonne8" headerRowDxfId="86" dataDxfId="85"/>
    <tableColumn id="9" name="Colonne9" headerRowDxfId="84" dataDxfId="83"/>
    <tableColumn id="10" name="Colonne10" headerRowDxfId="82" dataDxfId="9">
      <calculatedColumnFormula>SUM(Table7[[#This Row],[Colonne4]:[Colonne6]])</calculatedColumnFormula>
    </tableColumn>
    <tableColumn id="11" name="Colonne11" dataDxfId="8">
      <calculatedColumnFormula>SUM(J2,M2:N2)</calculatedColumnFormula>
    </tableColumn>
  </tableColumns>
  <tableStyleInfo name="TableStyleMedium2" showFirstColumn="0" showLastColumn="0" showRowStripes="0" showColumnStripes="0"/>
</table>
</file>

<file path=xl/tables/table2.xml><?xml version="1.0" encoding="utf-8"?>
<table xmlns="http://schemas.openxmlformats.org/spreadsheetml/2006/main" id="8" name="Table8" displayName="Table8" ref="A7:K36" headerRowCount="0" totalsRowShown="0">
  <tableColumns count="11">
    <tableColumn id="1" name="Colonne1" headerRowDxfId="81" dataDxfId="80"/>
    <tableColumn id="2" name="Colonne2" headerRowDxfId="79" dataDxfId="78"/>
    <tableColumn id="3" name="Colonne3" headerRowDxfId="77" dataDxfId="76"/>
    <tableColumn id="4" name="Colonne4" headerRowDxfId="75" dataDxfId="74"/>
    <tableColumn id="5" name="Colonne5" headerRowDxfId="73" dataDxfId="72"/>
    <tableColumn id="6" name="Colonne6" headerRowDxfId="71" dataDxfId="70"/>
    <tableColumn id="7" name="Colonne7" headerRowDxfId="69" dataDxfId="68"/>
    <tableColumn id="8" name="Colonne8" headerRowDxfId="67" dataDxfId="66"/>
    <tableColumn id="9" name="Colonne9" headerRowDxfId="65" dataDxfId="64">
      <calculatedColumnFormula>SUM(Table8[[#This Row],[Colonne6]:[Colonne8]])</calculatedColumnFormula>
    </tableColumn>
    <tableColumn id="10" name="Colonne10" headerRowDxfId="63" dataDxfId="62">
      <calculatedColumnFormula>SUM(Table8[[#This Row],[Colonne8]:[Colonne9]])</calculatedColumnFormula>
    </tableColumn>
    <tableColumn id="11" name="Colonne11" dataDxfId="61">
      <calculatedColumnFormula>SUM(J7,W7:X7)</calculatedColumnFormula>
    </tableColumn>
  </tableColumns>
  <tableStyleInfo name="TableStyleMedium2" showFirstColumn="0" showLastColumn="0" showRowStripes="0" showColumnStripes="0"/>
</table>
</file>

<file path=xl/tables/table3.xml><?xml version="1.0" encoding="utf-8"?>
<table xmlns="http://schemas.openxmlformats.org/spreadsheetml/2006/main" id="9" name="Table9" displayName="Table9" ref="L2:Z36" headerRowCount="0" totalsRowShown="0" dataDxfId="60">
  <tableColumns count="15">
    <tableColumn id="1" name="RESSOURCES" headerRowDxfId="59" dataDxfId="58"/>
    <tableColumn id="2" name="Tour de Babel" headerRowDxfId="57" dataDxfId="56"/>
    <tableColumn id="3" name="Statue de Zeus" headerRowDxfId="55" dataDxfId="54"/>
    <tableColumn id="4" name="Colisée" headerRowDxfId="53" dataDxfId="52"/>
    <tableColumn id="5" name="Phare d'alexandrie" headerRowDxfId="51" dataDxfId="50"/>
    <tableColumn id="6" name="Hagia Sophia" headerRowDxfId="49" dataDxfId="48"/>
    <tableColumn id="7" name="Cathédrale d'Aix" headerRowDxfId="47" dataDxfId="46"/>
    <tableColumn id="8" name="Basilique St Marc" headerRowDxfId="45" dataDxfId="44"/>
    <tableColumn id="9" name="Notre Dame" headerRowDxfId="43" dataDxfId="42"/>
    <tableColumn id="10" name="St Basile" headerRowDxfId="41" dataDxfId="40"/>
    <tableColumn id="11" name="Del Monte" headerRowDxfId="39" dataDxfId="38"/>
    <tableColumn id="12" name="Château de Deal" headerRowDxfId="37" dataDxfId="36"/>
    <tableColumn id="13" name="Frauenkirche de Dresde" headerRowDxfId="35" dataDxfId="34"/>
    <tableColumn id="14" name="Colonne1" headerRowDxfId="12" dataDxfId="13"/>
    <tableColumn id="15" name="Colonne2" headerRowDxfId="10" dataDxfId="11"/>
  </tableColumns>
  <tableStyleInfo name="TableStyleLight16" showFirstColumn="0" showLastColumn="0" showRowStripes="0" showColumnStripes="0"/>
</table>
</file>

<file path=xl/tables/table4.xml><?xml version="1.0" encoding="utf-8"?>
<table xmlns="http://schemas.openxmlformats.org/spreadsheetml/2006/main" id="1" name="Tableau7" displayName="Tableau7" ref="A3:L18" totalsRowShown="0" headerRowDxfId="33" headerRowCellStyle="Normal" dataCellStyle="Normal">
  <autoFilter ref="A3:L18"/>
  <tableColumns count="12">
    <tableColumn id="1" name="Âge" dataCellStyle="Normal"/>
    <tableColumn id="2" name="Chronologie" dataCellStyle="Normal"/>
    <tableColumn id="3" name="Nom" dataCellStyle="Normal"/>
    <tableColumn id="4" name="Largeur (cases)" dataCellStyle="Normal"/>
    <tableColumn id="5" name="Longueur (cases)" dataCellStyle="Normal"/>
    <tableColumn id="6" name="Taille (cases)" dataCellStyle="Normal">
      <calculatedColumnFormula>Tableau7[[#This Row],[Largeur (cases)]]*Tableau7[[#This Row],[Longueur (cases)]]</calculatedColumnFormula>
    </tableColumn>
    <tableColumn id="7" name="Production horaire" dataCellStyle="Normal"/>
    <tableColumn id="8" name="Population" dataCellStyle="Normal"/>
    <tableColumn id="10" name="Or" dataCellStyle="Normal"/>
    <tableColumn id="11" name="March." dataCellStyle="Normal"/>
    <tableColumn id="12" name="Coût total" dataCellStyle="Normal">
      <calculatedColumnFormula>Tableau7[[#This Row],[Or]]+Tableau7[[#This Row],[March.]]</calculatedColumnFormula>
    </tableColumn>
    <tableColumn id="9" name="Points" dataCellStyle="Normal"/>
  </tableColumns>
  <tableStyleInfo name="TableStyleMedium23" showFirstColumn="1" showLastColumn="0" showRowStripes="1" showColumnStripes="0"/>
</table>
</file>

<file path=xl/tables/table5.xml><?xml version="1.0" encoding="utf-8"?>
<table xmlns="http://schemas.openxmlformats.org/spreadsheetml/2006/main" id="4" name="Tableau4" displayName="Tableau4" ref="A4:M19" totalsRowShown="0" headerRowDxfId="32" headerRowCellStyle="Normal" dataCellStyle="Normal">
  <autoFilter ref="A4:M19"/>
  <tableColumns count="13">
    <tableColumn id="1" name="Âge" dataCellStyle="Normal"/>
    <tableColumn id="2" name="Chrono." dataCellStyle="Normal"/>
    <tableColumn id="3" name="Nom" dataCellStyle="Normal"/>
    <tableColumn id="4" name="Nb_bâtiments / Zone" dataDxfId="31" dataCellStyle="Normal">
      <calculatedColumnFormula>$B$2/('Batiments Marchandises'!F4+MIN('Batiments Marchandises'!D4:E4))</calculatedColumnFormula>
    </tableColumn>
    <tableColumn id="5" name="Routes" dataDxfId="30" dataCellStyle="Normal">
      <calculatedColumnFormula>MIN('Batiments Marchandises'!D4:E4)*Tableau4[[#This Row],[Nb_bâtiments / Zone]]/2</calculatedColumnFormula>
    </tableColumn>
    <tableColumn id="6" name="Bonheur des routes" dataDxfId="29" dataCellStyle="Normal">
      <calculatedColumnFormula>VLOOKUP(A5,'bonheur routes'!$A$2:$B$8,2)*E5</calculatedColumnFormula>
    </tableColumn>
    <tableColumn id="13" name="Motivation" dataDxfId="28"/>
    <tableColumn id="7" name="Production horaire" dataDxfId="27" dataCellStyle="Normal">
      <calculatedColumnFormula>D5*'Batiments Marchandises'!G4</calculatedColumnFormula>
    </tableColumn>
    <tableColumn id="8" name="Population" dataDxfId="26" dataCellStyle="Normal">
      <calculatedColumnFormula>'Batiments Marchandises'!H4*ajustement!D5</calculatedColumnFormula>
    </tableColumn>
    <tableColumn id="9" name="Points" dataDxfId="25" dataCellStyle="Normal">
      <calculatedColumnFormula>D5*'Batiments Marchandises'!L4</calculatedColumnFormula>
    </tableColumn>
    <tableColumn id="10" name="Or" dataCellStyle="Milliers">
      <calculatedColumnFormula>ajustement!$D5*'Batiments Marchandises'!I4</calculatedColumnFormula>
    </tableColumn>
    <tableColumn id="11" name="March." dataCellStyle="Milliers">
      <calculatedColumnFormula>ajustement!$D5*'Batiments Marchandises'!J4</calculatedColumnFormula>
    </tableColumn>
    <tableColumn id="12" name="Coût total" dataCellStyle="Milliers">
      <calculatedColumnFormula>ajustement!$D5*'Batiments Marchandises'!K4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2" name="Tableau2" displayName="Tableau2" ref="A2:B8" totalsRowShown="0">
  <autoFilter ref="A2:B8"/>
  <tableColumns count="2">
    <tableColumn id="2" name="Paramètres"/>
    <tableColumn id="3" name="Coeff.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id="3" name="Tableau3" displayName="Tableau3" ref="A10:M25" totalsRowShown="0" headerRowDxfId="24" headerRowCellStyle="Normal" dataCellStyle="Normal">
  <autoFilter ref="A10:M25"/>
  <tableColumns count="13">
    <tableColumn id="1" name="Âge" dataCellStyle="Normal"/>
    <tableColumn id="2" name="Chrono." dataCellStyle="Normal"/>
    <tableColumn id="3" name="Nom" dataCellStyle="Normal"/>
    <tableColumn id="15" name="Bonheur routes" dataDxfId="23">
      <calculatedColumnFormula>ajustement!F5</calculatedColumnFormula>
    </tableColumn>
    <tableColumn id="4" name="Prod. horaire / case" dataDxfId="22" dataCellStyle="Normal">
      <calculatedColumnFormula>ajustement!H5/ajustement!$B$2</calculatedColumnFormula>
    </tableColumn>
    <tableColumn id="5" name="Prod. horaire / hab" dataDxfId="21" dataCellStyle="Normal">
      <calculatedColumnFormula>ajustement!H5/ajustement!I5</calculatedColumnFormula>
    </tableColumn>
    <tableColumn id="6" name="Points/case" dataDxfId="20" dataCellStyle="Normal">
      <calculatedColumnFormula>ajustement!J5/ajustement!$B$2</calculatedColumnFormula>
    </tableColumn>
    <tableColumn id="7" name="Prod. horaire / case " dataDxfId="19" dataCellStyle="Pourcentage">
      <calculatedColumnFormula>E11/MAX(E$11:E$25)</calculatedColumnFormula>
    </tableColumn>
    <tableColumn id="8" name="Prod. horaire / hab " dataDxfId="18" dataCellStyle="Pourcentage">
      <calculatedColumnFormula>F11/MAX(F$11:F$25)</calculatedColumnFormula>
    </tableColumn>
    <tableColumn id="9" name="Points/case " dataDxfId="17" dataCellStyle="Pourcentage">
      <calculatedColumnFormula>G11/MAX(G$11:G$25)</calculatedColumnFormula>
    </tableColumn>
    <tableColumn id="14" name="Bonheur " dataDxfId="16" dataCellStyle="Pourcentage">
      <calculatedColumnFormula>ajustement!F5/MAX(ajustement!F$5:F$19)</calculatedColumnFormula>
    </tableColumn>
    <tableColumn id="18" name="Coût total" dataDxfId="15" dataCellStyle="Pourcentage">
      <calculatedColumnFormula>1-(ajustement!M5/MAX(Tableau4[Coût total]))</calculatedColumnFormula>
    </tableColumn>
    <tableColumn id="10" name="Moyenne" dataDxfId="14" dataCellStyle="Pourcentage">
      <calculatedColumnFormula>SUM(H11*$B$3,I11*$B$4,J11*$B$5,Tableau3[[#This Row],[Bonheur ]]*$B$6,Tableau3[[#This Row],[Coût total]]*$B$7)/SUM($B$3:$B$8)</calculatedColumnFormula>
    </tableColumn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id="5" name="Tableau1" displayName="Tableau1" ref="A1:H16" totalsRowShown="0" headerRowDxfId="4">
  <autoFilter ref="A1:H16"/>
  <tableColumns count="8">
    <tableColumn id="1" name="Âge"/>
    <tableColumn id="2" name="Chrono."/>
    <tableColumn id="3" name="Nom"/>
    <tableColumn id="4" name="Gain (pièces)"/>
    <tableColumn id="6" name="Temps (heures)" dataDxfId="7"/>
    <tableColumn id="8" name="Récolte théorique par heure" dataDxfId="6">
      <calculatedColumnFormula>D2/E2</calculatedColumnFormula>
    </tableColumn>
    <tableColumn id="5" name="Récolte réelle approchée par heure" dataDxfId="5">
      <calculatedColumnFormula>[1]fréquence!F4*D2/24</calculatedColumnFormula>
    </tableColumn>
    <tableColumn id="9" name="Population"/>
  </tableColumns>
  <tableStyleInfo name="TableStyleMedium23" showFirstColumn="0" showLastColumn="0" showRowStripes="1" showColumnStripes="0"/>
</table>
</file>

<file path=xl/tables/table9.xml><?xml version="1.0" encoding="utf-8"?>
<table xmlns="http://schemas.openxmlformats.org/spreadsheetml/2006/main" id="6" name="Tableau211" displayName="Tableau211" ref="A1:F16" totalsRowShown="0" headerRowDxfId="0">
  <autoFilter ref="A1:F16"/>
  <tableColumns count="6">
    <tableColumn id="1" name="Âge"/>
    <tableColumn id="2" name="Chrono."/>
    <tableColumn id="3" name="Nom"/>
    <tableColumn id="4" name="Rendement production" dataDxfId="3">
      <calculatedColumnFormula>[1]général!G2/MAX([1]!Tableau1[Récolte réelle approchée par heure])</calculatedColumnFormula>
    </tableColumn>
    <tableColumn id="5" name="Rendement population" dataDxfId="2">
      <calculatedColumnFormula>[1]général!H2/MAX([1]général!$H$2:$H$16)</calculatedColumnFormula>
    </tableColumn>
    <tableColumn id="6" name="Moyenne" dataDxfId="1">
      <calculatedColumnFormula>AVERAGE(D2,E2)</calculatedColumnFormula>
    </tableColumn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4" Type="http://schemas.openxmlformats.org/officeDocument/2006/relationships/table" Target="../tables/table2.xml"/><Relationship Id="rId5" Type="http://schemas.openxmlformats.org/officeDocument/2006/relationships/table" Target="../tables/table3.xml"/><Relationship Id="rId1" Type="http://schemas.openxmlformats.org/officeDocument/2006/relationships/drawing" Target="../drawings/drawing2.xml"/><Relationship Id="rId2" Type="http://schemas.openxmlformats.org/officeDocument/2006/relationships/image" Target="../media/image1.jpeg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Relationship Id="rId2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0"/>
  <sheetViews>
    <sheetView tabSelected="1" workbookViewId="0">
      <selection activeCell="S1" sqref="S1:U40"/>
    </sheetView>
  </sheetViews>
  <sheetFormatPr baseColWidth="10" defaultRowHeight="14" x14ac:dyDescent="0"/>
  <cols>
    <col min="3" max="3" width="15.33203125" bestFit="1" customWidth="1"/>
    <col min="4" max="4" width="22" bestFit="1" customWidth="1"/>
    <col min="6" max="6" width="15.33203125" bestFit="1" customWidth="1"/>
    <col min="7" max="7" width="13" bestFit="1" customWidth="1"/>
    <col min="9" max="10" width="15.33203125" bestFit="1" customWidth="1"/>
    <col min="12" max="12" width="15.33203125" bestFit="1" customWidth="1"/>
    <col min="13" max="13" width="26" bestFit="1" customWidth="1"/>
    <col min="15" max="15" width="15.33203125" bestFit="1" customWidth="1"/>
    <col min="16" max="16" width="19.33203125" bestFit="1" customWidth="1"/>
    <col min="18" max="18" width="15.33203125" bestFit="1" customWidth="1"/>
    <col min="19" max="19" width="21.83203125" bestFit="1" customWidth="1"/>
    <col min="20" max="20" width="10.83203125" customWidth="1"/>
    <col min="21" max="21" width="15.33203125" bestFit="1" customWidth="1"/>
  </cols>
  <sheetData>
    <row r="1" spans="1:21" ht="15" thickBot="1">
      <c r="A1" s="129" t="s">
        <v>107</v>
      </c>
      <c r="B1" s="130"/>
      <c r="C1" s="130"/>
      <c r="D1" s="129" t="s">
        <v>106</v>
      </c>
      <c r="E1" s="130"/>
      <c r="F1" s="133"/>
      <c r="G1" s="129" t="s">
        <v>119</v>
      </c>
      <c r="H1" s="130"/>
      <c r="I1" s="133"/>
      <c r="J1" s="129" t="s">
        <v>133</v>
      </c>
      <c r="K1" s="130"/>
      <c r="L1" s="133"/>
      <c r="M1" s="129" t="s">
        <v>18</v>
      </c>
      <c r="N1" s="130"/>
      <c r="O1" s="133"/>
      <c r="P1" s="129" t="s">
        <v>161</v>
      </c>
      <c r="Q1" s="130"/>
      <c r="R1" s="133"/>
      <c r="S1" s="167" t="s">
        <v>204</v>
      </c>
      <c r="T1" s="168"/>
      <c r="U1" s="169"/>
    </row>
    <row r="2" spans="1:21" ht="15" thickBot="1">
      <c r="A2" s="58" t="s">
        <v>102</v>
      </c>
      <c r="B2" s="59" t="s">
        <v>103</v>
      </c>
      <c r="C2" s="60" t="s">
        <v>104</v>
      </c>
      <c r="D2" s="58" t="s">
        <v>102</v>
      </c>
      <c r="E2" s="59" t="s">
        <v>103</v>
      </c>
      <c r="F2" s="60" t="s">
        <v>104</v>
      </c>
      <c r="G2" s="58" t="s">
        <v>102</v>
      </c>
      <c r="H2" s="59" t="s">
        <v>103</v>
      </c>
      <c r="I2" s="60" t="s">
        <v>104</v>
      </c>
      <c r="J2" s="58" t="s">
        <v>102</v>
      </c>
      <c r="K2" s="59" t="s">
        <v>103</v>
      </c>
      <c r="L2" s="60" t="s">
        <v>104</v>
      </c>
      <c r="M2" s="55" t="s">
        <v>102</v>
      </c>
      <c r="N2" s="56" t="s">
        <v>103</v>
      </c>
      <c r="O2" s="57" t="s">
        <v>104</v>
      </c>
      <c r="P2" s="61" t="s">
        <v>102</v>
      </c>
      <c r="Q2" s="62" t="s">
        <v>103</v>
      </c>
      <c r="R2" s="150" t="s">
        <v>104</v>
      </c>
      <c r="S2" s="116" t="s">
        <v>102</v>
      </c>
      <c r="T2" s="116" t="s">
        <v>103</v>
      </c>
      <c r="U2" s="116" t="s">
        <v>104</v>
      </c>
    </row>
    <row r="3" spans="1:21">
      <c r="A3" s="131" t="s">
        <v>189</v>
      </c>
      <c r="B3" s="52">
        <v>2</v>
      </c>
      <c r="C3" s="78" t="s">
        <v>61</v>
      </c>
      <c r="D3" s="117" t="s">
        <v>190</v>
      </c>
      <c r="E3" s="125">
        <v>15</v>
      </c>
      <c r="F3" s="134" t="s">
        <v>63</v>
      </c>
      <c r="G3" s="117" t="s">
        <v>120</v>
      </c>
      <c r="H3" s="54">
        <v>22</v>
      </c>
      <c r="I3" s="82" t="s">
        <v>105</v>
      </c>
      <c r="J3" s="119" t="s">
        <v>134</v>
      </c>
      <c r="K3" s="52">
        <v>20</v>
      </c>
      <c r="L3" s="65" t="s">
        <v>129</v>
      </c>
      <c r="M3" s="117" t="s">
        <v>148</v>
      </c>
      <c r="N3" s="54">
        <v>120</v>
      </c>
      <c r="O3" s="71" t="s">
        <v>143</v>
      </c>
      <c r="P3" s="117" t="s">
        <v>162</v>
      </c>
      <c r="Q3" s="54">
        <v>70</v>
      </c>
      <c r="R3" s="91" t="s">
        <v>156</v>
      </c>
      <c r="S3" s="117" t="s">
        <v>205</v>
      </c>
      <c r="T3" s="111">
        <v>90</v>
      </c>
      <c r="U3" s="171" t="s">
        <v>146</v>
      </c>
    </row>
    <row r="4" spans="1:21" ht="15" thickBot="1">
      <c r="A4" s="132"/>
      <c r="B4" s="49">
        <v>2</v>
      </c>
      <c r="C4" s="79" t="s">
        <v>105</v>
      </c>
      <c r="D4" s="118"/>
      <c r="E4" s="126"/>
      <c r="F4" s="135"/>
      <c r="G4" s="118"/>
      <c r="H4" s="53">
        <v>28</v>
      </c>
      <c r="I4" s="73" t="s">
        <v>67</v>
      </c>
      <c r="J4" s="120"/>
      <c r="K4" s="51">
        <v>42</v>
      </c>
      <c r="L4" s="75" t="s">
        <v>67</v>
      </c>
      <c r="M4" s="118"/>
      <c r="N4" s="53">
        <v>110</v>
      </c>
      <c r="O4" s="66" t="s">
        <v>132</v>
      </c>
      <c r="P4" s="118"/>
      <c r="Q4" s="53">
        <v>60</v>
      </c>
      <c r="R4" s="151" t="s">
        <v>158</v>
      </c>
      <c r="S4" s="118"/>
      <c r="T4" s="112">
        <v>50</v>
      </c>
      <c r="U4" s="172" t="s">
        <v>147</v>
      </c>
    </row>
    <row r="5" spans="1:21">
      <c r="D5" s="117" t="s">
        <v>108</v>
      </c>
      <c r="E5" s="125">
        <v>18</v>
      </c>
      <c r="F5" s="127" t="s">
        <v>65</v>
      </c>
      <c r="G5" s="117" t="s">
        <v>121</v>
      </c>
      <c r="H5" s="54">
        <v>46</v>
      </c>
      <c r="I5" s="82" t="s">
        <v>64</v>
      </c>
      <c r="J5" s="117" t="s">
        <v>135</v>
      </c>
      <c r="K5" s="54">
        <v>20</v>
      </c>
      <c r="L5" s="68" t="s">
        <v>131</v>
      </c>
      <c r="M5" s="119" t="s">
        <v>149</v>
      </c>
      <c r="N5" s="52">
        <v>60</v>
      </c>
      <c r="O5" s="72" t="s">
        <v>146</v>
      </c>
      <c r="P5" s="119" t="s">
        <v>163</v>
      </c>
      <c r="Q5" s="52">
        <v>110</v>
      </c>
      <c r="R5" s="72" t="s">
        <v>143</v>
      </c>
      <c r="S5" s="117" t="s">
        <v>206</v>
      </c>
      <c r="T5" s="111">
        <v>100</v>
      </c>
      <c r="U5" s="171" t="s">
        <v>144</v>
      </c>
    </row>
    <row r="6" spans="1:21" ht="15" thickBot="1">
      <c r="D6" s="118"/>
      <c r="E6" s="126"/>
      <c r="F6" s="128"/>
      <c r="G6" s="118"/>
      <c r="H6" s="53">
        <v>20</v>
      </c>
      <c r="I6" s="73" t="s">
        <v>118</v>
      </c>
      <c r="J6" s="118"/>
      <c r="K6" s="53">
        <v>10</v>
      </c>
      <c r="L6" s="73" t="s">
        <v>118</v>
      </c>
      <c r="M6" s="120"/>
      <c r="N6" s="51">
        <v>140</v>
      </c>
      <c r="O6" s="67" t="s">
        <v>130</v>
      </c>
      <c r="P6" s="120"/>
      <c r="Q6" s="51">
        <v>160</v>
      </c>
      <c r="R6" s="67" t="s">
        <v>130</v>
      </c>
      <c r="S6" s="120"/>
      <c r="T6" s="116">
        <v>60</v>
      </c>
      <c r="U6" s="174" t="s">
        <v>160</v>
      </c>
    </row>
    <row r="7" spans="1:21">
      <c r="D7" s="119" t="s">
        <v>109</v>
      </c>
      <c r="E7" s="121">
        <v>24</v>
      </c>
      <c r="F7" s="123" t="s">
        <v>64</v>
      </c>
      <c r="G7" s="117" t="s">
        <v>122</v>
      </c>
      <c r="H7" s="54">
        <v>34</v>
      </c>
      <c r="I7" s="82" t="s">
        <v>61</v>
      </c>
      <c r="J7" s="119" t="s">
        <v>136</v>
      </c>
      <c r="K7" s="52">
        <v>30</v>
      </c>
      <c r="L7" s="65" t="s">
        <v>130</v>
      </c>
      <c r="M7" s="117" t="s">
        <v>150</v>
      </c>
      <c r="N7" s="54">
        <v>80</v>
      </c>
      <c r="O7" s="71" t="s">
        <v>145</v>
      </c>
      <c r="P7" s="117" t="s">
        <v>164</v>
      </c>
      <c r="Q7" s="54">
        <v>100</v>
      </c>
      <c r="R7" s="71" t="s">
        <v>144</v>
      </c>
      <c r="S7" s="117" t="s">
        <v>207</v>
      </c>
      <c r="T7" s="111">
        <v>100</v>
      </c>
      <c r="U7" s="113" t="s">
        <v>157</v>
      </c>
    </row>
    <row r="8" spans="1:21" ht="15" thickBot="1">
      <c r="D8" s="120"/>
      <c r="E8" s="122"/>
      <c r="F8" s="124"/>
      <c r="G8" s="118"/>
      <c r="H8" s="53">
        <v>40</v>
      </c>
      <c r="I8" s="73" t="s">
        <v>114</v>
      </c>
      <c r="J8" s="120"/>
      <c r="K8" s="51">
        <v>30</v>
      </c>
      <c r="L8" s="75" t="s">
        <v>116</v>
      </c>
      <c r="M8" s="118"/>
      <c r="N8" s="53">
        <v>150</v>
      </c>
      <c r="O8" s="66" t="s">
        <v>131</v>
      </c>
      <c r="P8" s="118"/>
      <c r="Q8" s="53">
        <v>130</v>
      </c>
      <c r="R8" s="152" t="s">
        <v>147</v>
      </c>
      <c r="S8" s="118"/>
      <c r="T8" s="112">
        <v>40</v>
      </c>
      <c r="U8" s="176" t="s">
        <v>208</v>
      </c>
    </row>
    <row r="9" spans="1:21">
      <c r="D9" s="117" t="s">
        <v>191</v>
      </c>
      <c r="E9" s="125">
        <v>30</v>
      </c>
      <c r="F9" s="127" t="s">
        <v>61</v>
      </c>
      <c r="G9" s="117" t="s">
        <v>123</v>
      </c>
      <c r="H9" s="54">
        <v>42</v>
      </c>
      <c r="I9" s="74" t="s">
        <v>117</v>
      </c>
      <c r="J9" s="117" t="s">
        <v>137</v>
      </c>
      <c r="K9" s="54">
        <v>60</v>
      </c>
      <c r="L9" s="68" t="s">
        <v>128</v>
      </c>
      <c r="M9" s="119" t="s">
        <v>198</v>
      </c>
      <c r="N9" s="52">
        <v>100</v>
      </c>
      <c r="O9" s="72" t="s">
        <v>144</v>
      </c>
      <c r="P9" s="119" t="s">
        <v>165</v>
      </c>
      <c r="Q9" s="52">
        <v>60</v>
      </c>
      <c r="R9" s="90" t="s">
        <v>160</v>
      </c>
      <c r="S9" s="117" t="s">
        <v>209</v>
      </c>
      <c r="T9" s="111">
        <v>200</v>
      </c>
      <c r="U9" s="113" t="s">
        <v>158</v>
      </c>
    </row>
    <row r="10" spans="1:21" ht="15" thickBot="1">
      <c r="D10" s="118"/>
      <c r="E10" s="126"/>
      <c r="F10" s="128"/>
      <c r="G10" s="118"/>
      <c r="H10" s="53">
        <v>35</v>
      </c>
      <c r="I10" s="81" t="s">
        <v>65</v>
      </c>
      <c r="J10" s="118"/>
      <c r="K10" s="53">
        <v>28</v>
      </c>
      <c r="L10" s="73" t="s">
        <v>114</v>
      </c>
      <c r="M10" s="120"/>
      <c r="N10" s="51">
        <v>140</v>
      </c>
      <c r="O10" s="67" t="s">
        <v>128</v>
      </c>
      <c r="P10" s="120"/>
      <c r="Q10" s="51">
        <v>100</v>
      </c>
      <c r="R10" s="153" t="s">
        <v>146</v>
      </c>
      <c r="S10" s="118"/>
      <c r="T10" s="112">
        <v>55</v>
      </c>
      <c r="U10" s="176" t="s">
        <v>210</v>
      </c>
    </row>
    <row r="11" spans="1:21">
      <c r="D11" s="119" t="s">
        <v>110</v>
      </c>
      <c r="E11" s="121">
        <v>36</v>
      </c>
      <c r="F11" s="123" t="s">
        <v>105</v>
      </c>
      <c r="G11" s="117" t="s">
        <v>124</v>
      </c>
      <c r="H11" s="54">
        <v>49</v>
      </c>
      <c r="I11" s="74" t="s">
        <v>116</v>
      </c>
      <c r="J11" s="119" t="s">
        <v>138</v>
      </c>
      <c r="K11" s="52">
        <v>41</v>
      </c>
      <c r="L11" s="65" t="s">
        <v>132</v>
      </c>
      <c r="M11" s="117" t="s">
        <v>151</v>
      </c>
      <c r="N11" s="54">
        <v>80</v>
      </c>
      <c r="O11" s="71" t="s">
        <v>147</v>
      </c>
      <c r="P11" s="117" t="s">
        <v>166</v>
      </c>
      <c r="Q11" s="125">
        <v>110</v>
      </c>
      <c r="R11" s="154" t="s">
        <v>145</v>
      </c>
      <c r="S11" s="117" t="s">
        <v>213</v>
      </c>
      <c r="T11" s="111">
        <v>190</v>
      </c>
      <c r="U11" s="171" t="s">
        <v>211</v>
      </c>
    </row>
    <row r="12" spans="1:21" ht="15" thickBot="1">
      <c r="D12" s="120"/>
      <c r="E12" s="122"/>
      <c r="F12" s="124"/>
      <c r="G12" s="118"/>
      <c r="H12" s="53">
        <v>61</v>
      </c>
      <c r="I12" s="81" t="s">
        <v>63</v>
      </c>
      <c r="J12" s="120"/>
      <c r="K12" s="51">
        <v>47</v>
      </c>
      <c r="L12" s="75" t="s">
        <v>117</v>
      </c>
      <c r="M12" s="118"/>
      <c r="N12" s="53">
        <v>200</v>
      </c>
      <c r="O12" s="66" t="s">
        <v>129</v>
      </c>
      <c r="P12" s="118"/>
      <c r="Q12" s="126"/>
      <c r="R12" s="155"/>
      <c r="S12" s="118"/>
      <c r="T12" s="112">
        <v>90</v>
      </c>
      <c r="U12" s="176" t="s">
        <v>212</v>
      </c>
    </row>
    <row r="13" spans="1:21">
      <c r="A13" s="136" t="s">
        <v>188</v>
      </c>
      <c r="B13" s="136"/>
      <c r="D13" s="117" t="s">
        <v>192</v>
      </c>
      <c r="E13" s="54">
        <v>15</v>
      </c>
      <c r="F13" s="80" t="s">
        <v>64</v>
      </c>
      <c r="G13" s="117" t="s">
        <v>125</v>
      </c>
      <c r="H13" s="54">
        <v>35</v>
      </c>
      <c r="I13" s="74" t="s">
        <v>67</v>
      </c>
      <c r="J13" s="117" t="s">
        <v>139</v>
      </c>
      <c r="K13" s="54">
        <v>66</v>
      </c>
      <c r="L13" s="82" t="s">
        <v>63</v>
      </c>
      <c r="M13" s="119" t="s">
        <v>152</v>
      </c>
      <c r="N13" s="52">
        <v>50</v>
      </c>
      <c r="O13" s="90" t="s">
        <v>156</v>
      </c>
      <c r="P13" s="119" t="s">
        <v>167</v>
      </c>
      <c r="Q13" s="52">
        <v>40</v>
      </c>
      <c r="R13" s="156" t="s">
        <v>132</v>
      </c>
      <c r="S13" s="121" t="s">
        <v>214</v>
      </c>
      <c r="T13" s="115">
        <v>130</v>
      </c>
      <c r="U13" s="173" t="s">
        <v>215</v>
      </c>
    </row>
    <row r="14" spans="1:21" ht="15" thickBot="1">
      <c r="D14" s="118"/>
      <c r="E14" s="49">
        <v>3</v>
      </c>
      <c r="F14" s="77" t="s">
        <v>114</v>
      </c>
      <c r="G14" s="118"/>
      <c r="H14" s="53">
        <v>4</v>
      </c>
      <c r="I14" s="64" t="s">
        <v>128</v>
      </c>
      <c r="J14" s="118"/>
      <c r="K14" s="53">
        <v>4</v>
      </c>
      <c r="L14" s="69" t="s">
        <v>143</v>
      </c>
      <c r="M14" s="120"/>
      <c r="N14" s="51">
        <v>140</v>
      </c>
      <c r="O14" s="76" t="s">
        <v>115</v>
      </c>
      <c r="P14" s="120"/>
      <c r="Q14" s="51">
        <v>20</v>
      </c>
      <c r="R14" s="157" t="s">
        <v>177</v>
      </c>
      <c r="S14" s="122"/>
      <c r="T14" s="116">
        <v>50</v>
      </c>
      <c r="U14" s="177" t="s">
        <v>147</v>
      </c>
    </row>
    <row r="15" spans="1:21">
      <c r="D15" s="119" t="s">
        <v>193</v>
      </c>
      <c r="E15" s="48">
        <v>33</v>
      </c>
      <c r="F15" s="78" t="s">
        <v>63</v>
      </c>
      <c r="G15" s="117" t="s">
        <v>195</v>
      </c>
      <c r="H15" s="54">
        <v>30</v>
      </c>
      <c r="I15" s="74" t="s">
        <v>114</v>
      </c>
      <c r="J15" s="119" t="s">
        <v>140</v>
      </c>
      <c r="K15" s="52">
        <v>79</v>
      </c>
      <c r="L15" s="83" t="s">
        <v>61</v>
      </c>
      <c r="M15" s="117" t="s">
        <v>153</v>
      </c>
      <c r="N15" s="54">
        <v>40</v>
      </c>
      <c r="O15" s="91" t="s">
        <v>157</v>
      </c>
      <c r="P15" s="117" t="s">
        <v>168</v>
      </c>
      <c r="Q15" s="54">
        <v>90</v>
      </c>
      <c r="R15" s="91" t="s">
        <v>157</v>
      </c>
      <c r="S15" s="117" t="s">
        <v>216</v>
      </c>
      <c r="T15" s="111">
        <v>45</v>
      </c>
      <c r="U15" s="182" t="s">
        <v>218</v>
      </c>
    </row>
    <row r="16" spans="1:21" ht="15" thickBot="1">
      <c r="D16" s="120"/>
      <c r="E16" s="50">
        <v>4</v>
      </c>
      <c r="F16" s="76" t="s">
        <v>115</v>
      </c>
      <c r="G16" s="118"/>
      <c r="H16" s="53">
        <v>14</v>
      </c>
      <c r="I16" s="64" t="s">
        <v>129</v>
      </c>
      <c r="J16" s="120"/>
      <c r="K16" s="51">
        <v>11</v>
      </c>
      <c r="L16" s="70" t="s">
        <v>144</v>
      </c>
      <c r="M16" s="118"/>
      <c r="N16" s="53">
        <v>150</v>
      </c>
      <c r="O16" s="77" t="s">
        <v>114</v>
      </c>
      <c r="P16" s="118"/>
      <c r="Q16" s="53">
        <v>140</v>
      </c>
      <c r="R16" s="151" t="s">
        <v>159</v>
      </c>
      <c r="S16" s="118"/>
      <c r="T16" s="112">
        <v>80</v>
      </c>
      <c r="U16" s="172" t="s">
        <v>143</v>
      </c>
    </row>
    <row r="17" spans="1:21">
      <c r="D17" s="117" t="s">
        <v>194</v>
      </c>
      <c r="E17" s="54">
        <v>30</v>
      </c>
      <c r="F17" s="80" t="s">
        <v>61</v>
      </c>
      <c r="G17" s="117" t="s">
        <v>126</v>
      </c>
      <c r="H17" s="54">
        <v>28</v>
      </c>
      <c r="I17" s="74" t="s">
        <v>116</v>
      </c>
      <c r="J17" s="117" t="s">
        <v>141</v>
      </c>
      <c r="K17" s="54">
        <v>90</v>
      </c>
      <c r="L17" s="82" t="s">
        <v>64</v>
      </c>
      <c r="M17" s="119" t="s">
        <v>154</v>
      </c>
      <c r="N17" s="52">
        <v>50</v>
      </c>
      <c r="O17" s="90" t="s">
        <v>158</v>
      </c>
      <c r="P17" s="119" t="s">
        <v>169</v>
      </c>
      <c r="Q17" s="52">
        <v>150</v>
      </c>
      <c r="R17" s="156" t="s">
        <v>128</v>
      </c>
      <c r="S17" s="121" t="s">
        <v>217</v>
      </c>
      <c r="T17" s="115">
        <v>90</v>
      </c>
      <c r="U17" s="180" t="s">
        <v>178</v>
      </c>
    </row>
    <row r="18" spans="1:21" ht="15" thickBot="1">
      <c r="D18" s="118"/>
      <c r="E18" s="49">
        <v>13</v>
      </c>
      <c r="F18" s="77" t="s">
        <v>117</v>
      </c>
      <c r="G18" s="118"/>
      <c r="H18" s="53">
        <v>20</v>
      </c>
      <c r="I18" s="64" t="s">
        <v>130</v>
      </c>
      <c r="J18" s="118"/>
      <c r="K18" s="53">
        <v>34</v>
      </c>
      <c r="L18" s="69" t="s">
        <v>145</v>
      </c>
      <c r="M18" s="120"/>
      <c r="N18" s="51">
        <v>100</v>
      </c>
      <c r="O18" s="76" t="s">
        <v>117</v>
      </c>
      <c r="P18" s="120"/>
      <c r="Q18" s="51">
        <v>20</v>
      </c>
      <c r="R18" s="157" t="s">
        <v>177</v>
      </c>
      <c r="S18" s="122"/>
      <c r="T18" s="116">
        <v>110</v>
      </c>
      <c r="U18" s="177" t="s">
        <v>143</v>
      </c>
    </row>
    <row r="19" spans="1:21">
      <c r="D19" s="119" t="s">
        <v>111</v>
      </c>
      <c r="E19" s="48">
        <v>21</v>
      </c>
      <c r="F19" s="78" t="s">
        <v>105</v>
      </c>
      <c r="G19" s="117" t="s">
        <v>127</v>
      </c>
      <c r="H19" s="54">
        <v>40</v>
      </c>
      <c r="I19" s="74" t="s">
        <v>117</v>
      </c>
      <c r="J19" s="119" t="s">
        <v>142</v>
      </c>
      <c r="K19" s="52">
        <v>71</v>
      </c>
      <c r="L19" s="83" t="s">
        <v>65</v>
      </c>
      <c r="M19" s="117" t="s">
        <v>155</v>
      </c>
      <c r="N19" s="54">
        <v>70</v>
      </c>
      <c r="O19" s="91" t="s">
        <v>159</v>
      </c>
      <c r="P19" s="117" t="s">
        <v>170</v>
      </c>
      <c r="Q19" s="125">
        <v>20</v>
      </c>
      <c r="R19" s="158" t="s">
        <v>132</v>
      </c>
      <c r="S19" s="117" t="s">
        <v>219</v>
      </c>
      <c r="T19" s="111">
        <v>80</v>
      </c>
      <c r="U19" s="63" t="s">
        <v>178</v>
      </c>
    </row>
    <row r="20" spans="1:21" ht="15" thickBot="1">
      <c r="D20" s="120"/>
      <c r="E20" s="50">
        <v>11</v>
      </c>
      <c r="F20" s="76" t="s">
        <v>116</v>
      </c>
      <c r="G20" s="118"/>
      <c r="H20" s="53">
        <v>23</v>
      </c>
      <c r="I20" s="64" t="s">
        <v>131</v>
      </c>
      <c r="J20" s="120"/>
      <c r="K20" s="51">
        <v>40</v>
      </c>
      <c r="L20" s="70" t="s">
        <v>146</v>
      </c>
      <c r="M20" s="118"/>
      <c r="N20" s="53">
        <v>140</v>
      </c>
      <c r="O20" s="77" t="s">
        <v>118</v>
      </c>
      <c r="P20" s="118"/>
      <c r="Q20" s="126"/>
      <c r="R20" s="159"/>
      <c r="S20" s="118"/>
      <c r="T20" s="112">
        <v>30</v>
      </c>
      <c r="U20" s="114" t="s">
        <v>157</v>
      </c>
    </row>
    <row r="21" spans="1:21">
      <c r="D21" s="117" t="s">
        <v>112</v>
      </c>
      <c r="E21" s="54">
        <v>50</v>
      </c>
      <c r="F21" s="80" t="s">
        <v>65</v>
      </c>
      <c r="G21" s="117" t="s">
        <v>196</v>
      </c>
      <c r="H21" s="54">
        <v>70</v>
      </c>
      <c r="I21" s="74" t="s">
        <v>118</v>
      </c>
      <c r="J21" s="117" t="s">
        <v>197</v>
      </c>
      <c r="K21" s="54">
        <v>94</v>
      </c>
      <c r="L21" s="82" t="s">
        <v>105</v>
      </c>
      <c r="M21" s="119" t="s">
        <v>156</v>
      </c>
      <c r="N21" s="52">
        <v>80</v>
      </c>
      <c r="O21" s="90" t="s">
        <v>160</v>
      </c>
      <c r="P21" s="119" t="s">
        <v>171</v>
      </c>
      <c r="Q21" s="52">
        <v>40</v>
      </c>
      <c r="R21" s="160" t="s">
        <v>178</v>
      </c>
      <c r="S21" s="121" t="s">
        <v>220</v>
      </c>
      <c r="T21" s="115">
        <v>160</v>
      </c>
      <c r="U21" s="180" t="s">
        <v>181</v>
      </c>
    </row>
    <row r="22" spans="1:21" ht="15" thickBot="1">
      <c r="D22" s="118"/>
      <c r="E22" s="49">
        <v>16</v>
      </c>
      <c r="F22" s="77" t="s">
        <v>118</v>
      </c>
      <c r="G22" s="118"/>
      <c r="H22" s="53">
        <v>30</v>
      </c>
      <c r="I22" s="64" t="s">
        <v>132</v>
      </c>
      <c r="J22" s="118"/>
      <c r="K22" s="53">
        <v>50</v>
      </c>
      <c r="L22" s="69" t="s">
        <v>147</v>
      </c>
      <c r="M22" s="118"/>
      <c r="N22" s="53">
        <v>130</v>
      </c>
      <c r="O22" s="77" t="s">
        <v>116</v>
      </c>
      <c r="P22" s="120"/>
      <c r="Q22" s="51">
        <v>50</v>
      </c>
      <c r="R22" s="67" t="s">
        <v>131</v>
      </c>
      <c r="S22" s="122"/>
      <c r="T22" s="116">
        <v>50</v>
      </c>
      <c r="U22" s="175" t="s">
        <v>210</v>
      </c>
    </row>
    <row r="23" spans="1:21">
      <c r="G23" s="29"/>
      <c r="H23" s="29"/>
      <c r="I23" s="29"/>
      <c r="J23" s="29"/>
      <c r="K23" s="29"/>
      <c r="L23" s="29"/>
      <c r="M23" s="29"/>
      <c r="N23" s="29"/>
      <c r="O23" s="29"/>
      <c r="P23" s="117" t="s">
        <v>199</v>
      </c>
      <c r="Q23" s="54">
        <v>60</v>
      </c>
      <c r="R23" s="161" t="s">
        <v>179</v>
      </c>
      <c r="S23" s="117" t="s">
        <v>221</v>
      </c>
      <c r="T23" s="111">
        <v>80</v>
      </c>
      <c r="U23" s="63" t="s">
        <v>177</v>
      </c>
    </row>
    <row r="24" spans="1:21" ht="15" thickBot="1">
      <c r="A24" t="s">
        <v>113</v>
      </c>
      <c r="G24" s="29"/>
      <c r="H24" s="29"/>
      <c r="I24" s="29"/>
      <c r="J24" s="29"/>
      <c r="K24" s="29"/>
      <c r="L24" s="29"/>
      <c r="M24" s="29"/>
      <c r="N24" s="29"/>
      <c r="O24" s="29"/>
      <c r="P24" s="118"/>
      <c r="Q24" s="53">
        <v>120</v>
      </c>
      <c r="R24" s="66" t="s">
        <v>129</v>
      </c>
      <c r="S24" s="118"/>
      <c r="T24" s="112">
        <v>60</v>
      </c>
      <c r="U24" s="183" t="s">
        <v>179</v>
      </c>
    </row>
    <row r="25" spans="1:21">
      <c r="A25" s="139" t="s">
        <v>182</v>
      </c>
      <c r="B25" s="139"/>
      <c r="C25" s="139"/>
      <c r="G25" s="29"/>
      <c r="H25" s="29"/>
      <c r="I25" s="29"/>
      <c r="J25" s="29"/>
      <c r="K25" s="29"/>
      <c r="L25" s="29"/>
      <c r="M25" s="29"/>
      <c r="N25" s="29"/>
      <c r="O25" s="29"/>
      <c r="P25" s="119" t="s">
        <v>172</v>
      </c>
      <c r="Q25" s="121">
        <v>80</v>
      </c>
      <c r="R25" s="162" t="s">
        <v>180</v>
      </c>
      <c r="S25" s="121" t="s">
        <v>222</v>
      </c>
      <c r="T25" s="115">
        <v>60</v>
      </c>
      <c r="U25" s="181" t="s">
        <v>230</v>
      </c>
    </row>
    <row r="26" spans="1:21" ht="15" thickBot="1">
      <c r="A26" s="140" t="s">
        <v>183</v>
      </c>
      <c r="B26" s="140"/>
      <c r="C26" s="140"/>
      <c r="G26" s="29"/>
      <c r="H26" s="29"/>
      <c r="I26" s="29"/>
      <c r="J26" s="29"/>
      <c r="K26" s="29"/>
      <c r="L26" s="29"/>
      <c r="M26" s="29"/>
      <c r="N26" s="29"/>
      <c r="O26" s="29"/>
      <c r="P26" s="120"/>
      <c r="Q26" s="122"/>
      <c r="R26" s="163"/>
      <c r="S26" s="122"/>
      <c r="T26" s="116">
        <v>100</v>
      </c>
      <c r="U26" s="178" t="s">
        <v>179</v>
      </c>
    </row>
    <row r="27" spans="1:21">
      <c r="A27" s="141" t="s">
        <v>184</v>
      </c>
      <c r="B27" s="141"/>
      <c r="C27" s="141"/>
      <c r="G27" s="29"/>
      <c r="H27" s="29"/>
      <c r="I27" s="29"/>
      <c r="J27" s="29"/>
      <c r="K27" s="29"/>
      <c r="L27" s="29"/>
      <c r="M27" s="29"/>
      <c r="N27" s="29"/>
      <c r="O27" s="29"/>
      <c r="P27" s="117" t="s">
        <v>173</v>
      </c>
      <c r="Q27" s="54">
        <v>60</v>
      </c>
      <c r="R27" s="91" t="s">
        <v>157</v>
      </c>
      <c r="S27" s="117" t="s">
        <v>223</v>
      </c>
      <c r="T27" s="111">
        <v>110</v>
      </c>
      <c r="U27" s="171" t="s">
        <v>144</v>
      </c>
    </row>
    <row r="28" spans="1:21" ht="15" thickBot="1">
      <c r="A28" s="142" t="s">
        <v>185</v>
      </c>
      <c r="B28" s="142"/>
      <c r="C28" s="142"/>
      <c r="G28" s="29"/>
      <c r="H28" s="29"/>
      <c r="I28" s="29"/>
      <c r="J28" s="29"/>
      <c r="K28" s="29"/>
      <c r="L28" s="29"/>
      <c r="M28" s="29"/>
      <c r="N28" s="29"/>
      <c r="O28" s="29"/>
      <c r="P28" s="118"/>
      <c r="Q28" s="53">
        <v>110</v>
      </c>
      <c r="R28" s="66" t="s">
        <v>132</v>
      </c>
      <c r="S28" s="118"/>
      <c r="T28" s="112">
        <v>60</v>
      </c>
      <c r="U28" s="172" t="s">
        <v>147</v>
      </c>
    </row>
    <row r="29" spans="1:21">
      <c r="A29" s="137" t="s">
        <v>186</v>
      </c>
      <c r="B29" s="137"/>
      <c r="C29" s="137"/>
      <c r="G29" s="29"/>
      <c r="H29" s="29"/>
      <c r="I29" s="29"/>
      <c r="J29" s="29"/>
      <c r="K29" s="29"/>
      <c r="L29" s="29"/>
      <c r="M29" s="29"/>
      <c r="N29" s="29"/>
      <c r="O29" s="29"/>
      <c r="P29" s="119" t="s">
        <v>174</v>
      </c>
      <c r="Q29" s="52">
        <v>80</v>
      </c>
      <c r="R29" s="160" t="s">
        <v>181</v>
      </c>
      <c r="S29" s="121" t="s">
        <v>224</v>
      </c>
      <c r="T29" s="115">
        <v>70</v>
      </c>
      <c r="U29" s="180" t="s">
        <v>177</v>
      </c>
    </row>
    <row r="30" spans="1:21" ht="15" thickBot="1">
      <c r="A30" s="138" t="s">
        <v>187</v>
      </c>
      <c r="B30" s="138"/>
      <c r="C30" s="138"/>
      <c r="G30" s="29"/>
      <c r="H30" s="29"/>
      <c r="I30" s="29"/>
      <c r="J30" s="29"/>
      <c r="K30" s="29"/>
      <c r="L30" s="29"/>
      <c r="M30" s="29"/>
      <c r="N30" s="29"/>
      <c r="O30" s="29"/>
      <c r="P30" s="120"/>
      <c r="Q30" s="51">
        <v>110</v>
      </c>
      <c r="R30" s="67" t="s">
        <v>131</v>
      </c>
      <c r="S30" s="122"/>
      <c r="T30" s="116">
        <v>50</v>
      </c>
      <c r="U30" s="175" t="s">
        <v>218</v>
      </c>
    </row>
    <row r="31" spans="1:21">
      <c r="G31" s="29"/>
      <c r="H31" s="29"/>
      <c r="I31" s="29"/>
      <c r="J31" s="29"/>
      <c r="K31" s="29"/>
      <c r="L31" s="29"/>
      <c r="M31" s="29"/>
      <c r="N31" s="29"/>
      <c r="O31" s="29"/>
      <c r="P31" s="117" t="s">
        <v>175</v>
      </c>
      <c r="Q31" s="125">
        <v>100</v>
      </c>
      <c r="R31" s="164" t="s">
        <v>160</v>
      </c>
      <c r="S31" s="117" t="s">
        <v>225</v>
      </c>
      <c r="T31" s="111">
        <v>50</v>
      </c>
      <c r="U31" s="182" t="s">
        <v>230</v>
      </c>
    </row>
    <row r="32" spans="1:21" ht="15" thickBot="1">
      <c r="G32" s="29"/>
      <c r="H32" s="29"/>
      <c r="I32" s="29"/>
      <c r="J32" s="29"/>
      <c r="K32" s="29"/>
      <c r="L32" s="29"/>
      <c r="M32" s="29"/>
      <c r="N32" s="29"/>
      <c r="O32" s="29"/>
      <c r="P32" s="118"/>
      <c r="Q32" s="126"/>
      <c r="R32" s="165"/>
      <c r="S32" s="118"/>
      <c r="T32" s="112">
        <v>60</v>
      </c>
      <c r="U32" s="176" t="s">
        <v>208</v>
      </c>
    </row>
    <row r="33" spans="7:21">
      <c r="G33" s="29"/>
      <c r="H33" s="29"/>
      <c r="I33" s="29"/>
      <c r="J33" s="29"/>
      <c r="K33" s="29"/>
      <c r="L33" s="29"/>
      <c r="M33" s="29"/>
      <c r="N33" s="29"/>
      <c r="O33" s="29"/>
      <c r="P33" s="119" t="s">
        <v>176</v>
      </c>
      <c r="Q33" s="121">
        <v>80</v>
      </c>
      <c r="R33" s="166" t="s">
        <v>156</v>
      </c>
      <c r="S33" s="121" t="s">
        <v>226</v>
      </c>
      <c r="T33" s="115">
        <v>120</v>
      </c>
      <c r="U33" s="180" t="s">
        <v>180</v>
      </c>
    </row>
    <row r="34" spans="7:21" ht="15" thickBot="1">
      <c r="P34" s="118"/>
      <c r="Q34" s="126"/>
      <c r="R34" s="165"/>
      <c r="S34" s="122"/>
      <c r="T34" s="116">
        <v>80</v>
      </c>
      <c r="U34" s="179" t="s">
        <v>157</v>
      </c>
    </row>
    <row r="35" spans="7:21">
      <c r="S35" s="117" t="s">
        <v>227</v>
      </c>
      <c r="T35" s="111">
        <v>70</v>
      </c>
      <c r="U35" s="182" t="s">
        <v>212</v>
      </c>
    </row>
    <row r="36" spans="7:21" ht="15" thickBot="1">
      <c r="S36" s="118"/>
      <c r="T36" s="112">
        <v>110</v>
      </c>
      <c r="U36" s="114" t="s">
        <v>231</v>
      </c>
    </row>
    <row r="37" spans="7:21">
      <c r="S37" s="121" t="s">
        <v>228</v>
      </c>
      <c r="T37" s="115">
        <v>70</v>
      </c>
      <c r="U37" s="170" t="s">
        <v>146</v>
      </c>
    </row>
    <row r="38" spans="7:21" ht="15" thickBot="1">
      <c r="S38" s="122"/>
      <c r="T38" s="116">
        <v>110</v>
      </c>
      <c r="U38" s="179" t="s">
        <v>160</v>
      </c>
    </row>
    <row r="39" spans="7:21">
      <c r="S39" s="117" t="s">
        <v>229</v>
      </c>
      <c r="T39" s="111">
        <v>100</v>
      </c>
      <c r="U39" s="113" t="s">
        <v>231</v>
      </c>
    </row>
    <row r="40" spans="7:21" ht="15" thickBot="1">
      <c r="S40" s="118"/>
      <c r="T40" s="112">
        <v>60</v>
      </c>
      <c r="U40" s="114" t="s">
        <v>158</v>
      </c>
    </row>
  </sheetData>
  <mergeCells count="110">
    <mergeCell ref="S31:S32"/>
    <mergeCell ref="S33:S34"/>
    <mergeCell ref="S35:S36"/>
    <mergeCell ref="S37:S38"/>
    <mergeCell ref="S39:S40"/>
    <mergeCell ref="S21:S22"/>
    <mergeCell ref="S23:S24"/>
    <mergeCell ref="S25:S26"/>
    <mergeCell ref="S27:S28"/>
    <mergeCell ref="S29:S30"/>
    <mergeCell ref="S11:S12"/>
    <mergeCell ref="S13:S14"/>
    <mergeCell ref="S15:S16"/>
    <mergeCell ref="S17:S18"/>
    <mergeCell ref="S19:S20"/>
    <mergeCell ref="S1:U1"/>
    <mergeCell ref="S3:S4"/>
    <mergeCell ref="S5:S6"/>
    <mergeCell ref="S7:S8"/>
    <mergeCell ref="S9:S10"/>
    <mergeCell ref="A13:B13"/>
    <mergeCell ref="P27:P28"/>
    <mergeCell ref="P25:P26"/>
    <mergeCell ref="P31:P32"/>
    <mergeCell ref="Q31:Q32"/>
    <mergeCell ref="A29:C29"/>
    <mergeCell ref="A30:C30"/>
    <mergeCell ref="A25:C25"/>
    <mergeCell ref="A26:C26"/>
    <mergeCell ref="A27:C27"/>
    <mergeCell ref="A28:C28"/>
    <mergeCell ref="P19:P20"/>
    <mergeCell ref="Q19:Q20"/>
    <mergeCell ref="M13:M14"/>
    <mergeCell ref="M15:M16"/>
    <mergeCell ref="M17:M18"/>
    <mergeCell ref="J21:J22"/>
    <mergeCell ref="P23:P24"/>
    <mergeCell ref="P21:P22"/>
    <mergeCell ref="G21:G22"/>
    <mergeCell ref="D13:D14"/>
    <mergeCell ref="D15:D16"/>
    <mergeCell ref="D17:D18"/>
    <mergeCell ref="D19:D20"/>
    <mergeCell ref="R31:R32"/>
    <mergeCell ref="R19:R20"/>
    <mergeCell ref="Q25:Q26"/>
    <mergeCell ref="R25:R26"/>
    <mergeCell ref="M9:M10"/>
    <mergeCell ref="M11:M12"/>
    <mergeCell ref="P33:P34"/>
    <mergeCell ref="P29:P30"/>
    <mergeCell ref="R33:R34"/>
    <mergeCell ref="Q33:Q34"/>
    <mergeCell ref="P11:P12"/>
    <mergeCell ref="Q11:Q12"/>
    <mergeCell ref="R11:R12"/>
    <mergeCell ref="P13:P14"/>
    <mergeCell ref="P17:P18"/>
    <mergeCell ref="P15:P16"/>
    <mergeCell ref="M19:M20"/>
    <mergeCell ref="M21:M22"/>
    <mergeCell ref="P1:R1"/>
    <mergeCell ref="G3:G4"/>
    <mergeCell ref="G5:G6"/>
    <mergeCell ref="G7:G8"/>
    <mergeCell ref="G9:G10"/>
    <mergeCell ref="J3:J4"/>
    <mergeCell ref="J5:J6"/>
    <mergeCell ref="J7:J8"/>
    <mergeCell ref="J9:J10"/>
    <mergeCell ref="P3:P4"/>
    <mergeCell ref="P5:P6"/>
    <mergeCell ref="P9:P10"/>
    <mergeCell ref="P7:P8"/>
    <mergeCell ref="G1:I1"/>
    <mergeCell ref="M3:M4"/>
    <mergeCell ref="M5:M6"/>
    <mergeCell ref="J1:L1"/>
    <mergeCell ref="M1:O1"/>
    <mergeCell ref="M7:M8"/>
    <mergeCell ref="J11:J12"/>
    <mergeCell ref="J13:J14"/>
    <mergeCell ref="J15:J16"/>
    <mergeCell ref="J17:J18"/>
    <mergeCell ref="J19:J20"/>
    <mergeCell ref="G11:G12"/>
    <mergeCell ref="G13:G14"/>
    <mergeCell ref="G15:G16"/>
    <mergeCell ref="G17:G18"/>
    <mergeCell ref="G19:G20"/>
    <mergeCell ref="A1:C1"/>
    <mergeCell ref="A3:A4"/>
    <mergeCell ref="D1:F1"/>
    <mergeCell ref="D3:D4"/>
    <mergeCell ref="E3:E4"/>
    <mergeCell ref="F3:F4"/>
    <mergeCell ref="D5:D6"/>
    <mergeCell ref="E5:E6"/>
    <mergeCell ref="F5:F6"/>
    <mergeCell ref="D21:D22"/>
    <mergeCell ref="D7:D8"/>
    <mergeCell ref="E7:E8"/>
    <mergeCell ref="F7:F8"/>
    <mergeCell ref="D9:D10"/>
    <mergeCell ref="E9:E10"/>
    <mergeCell ref="F9:F10"/>
    <mergeCell ref="D11:D12"/>
    <mergeCell ref="E11:E12"/>
    <mergeCell ref="F11:F12"/>
  </mergeCells>
  <phoneticPr fontId="15" type="noConversion"/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6"/>
  <sheetViews>
    <sheetView topLeftCell="D13" zoomScale="125" zoomScaleNormal="125" zoomScalePageLayoutView="125" workbookViewId="0">
      <selection activeCell="I7" sqref="I7"/>
    </sheetView>
  </sheetViews>
  <sheetFormatPr baseColWidth="10" defaultRowHeight="15" x14ac:dyDescent="0"/>
  <cols>
    <col min="1" max="1" width="13.5" customWidth="1"/>
    <col min="2" max="2" width="10.83203125" style="29"/>
    <col min="3" max="3" width="12" style="29" bestFit="1" customWidth="1"/>
    <col min="4" max="4" width="11.5" style="29" customWidth="1"/>
    <col min="5" max="5" width="13.33203125" style="29" bestFit="1" customWidth="1"/>
    <col min="6" max="6" width="14.5" style="29" bestFit="1" customWidth="1"/>
    <col min="7" max="7" width="10" style="29" bestFit="1" customWidth="1"/>
    <col min="8" max="8" width="11.83203125" style="29" customWidth="1"/>
    <col min="9" max="9" width="30" style="93" customWidth="1"/>
    <col min="10" max="10" width="18" style="93" bestFit="1" customWidth="1"/>
    <col min="11" max="11" width="13.6640625" style="97" customWidth="1"/>
    <col min="12" max="12" width="13.6640625" bestFit="1" customWidth="1"/>
    <col min="13" max="13" width="13.1640625" style="41" customWidth="1"/>
    <col min="14" max="14" width="14" style="41" customWidth="1"/>
    <col min="15" max="15" width="9.6640625" style="41" customWidth="1"/>
    <col min="16" max="16" width="15.6640625" style="41" bestFit="1" customWidth="1"/>
    <col min="17" max="17" width="11.1640625" style="41" bestFit="1" customWidth="1"/>
    <col min="18" max="18" width="13.83203125" style="41" bestFit="1" customWidth="1"/>
    <col min="19" max="19" width="14.33203125" style="41" bestFit="1" customWidth="1"/>
    <col min="20" max="20" width="12.1640625" style="41" customWidth="1"/>
    <col min="21" max="21" width="10.83203125" style="41"/>
    <col min="22" max="22" width="14.1640625" style="41" bestFit="1" customWidth="1"/>
    <col min="23" max="23" width="13.6640625" style="41" bestFit="1" customWidth="1"/>
    <col min="24" max="24" width="19.33203125" style="41" bestFit="1" customWidth="1"/>
    <col min="25" max="25" width="14.5" customWidth="1"/>
  </cols>
  <sheetData>
    <row r="1" spans="1:26" s="85" customFormat="1" ht="45">
      <c r="A1" s="84" t="s">
        <v>59</v>
      </c>
      <c r="B1" s="84" t="s">
        <v>203</v>
      </c>
      <c r="C1" s="84" t="s">
        <v>60</v>
      </c>
      <c r="D1" s="84" t="s">
        <v>106</v>
      </c>
      <c r="E1" s="84" t="s">
        <v>119</v>
      </c>
      <c r="F1" s="84" t="s">
        <v>133</v>
      </c>
      <c r="G1" s="84" t="s">
        <v>18</v>
      </c>
      <c r="H1" s="84" t="s">
        <v>161</v>
      </c>
      <c r="I1" s="92" t="s">
        <v>204</v>
      </c>
      <c r="J1" s="92" t="s">
        <v>202</v>
      </c>
      <c r="K1" s="94" t="s">
        <v>200</v>
      </c>
      <c r="L1" s="84" t="s">
        <v>98</v>
      </c>
      <c r="M1" s="84" t="s">
        <v>89</v>
      </c>
      <c r="N1" s="84" t="s">
        <v>90</v>
      </c>
      <c r="O1" s="84" t="s">
        <v>91</v>
      </c>
      <c r="P1" s="84" t="s">
        <v>100</v>
      </c>
      <c r="Q1" s="84" t="s">
        <v>101</v>
      </c>
      <c r="R1" s="84" t="s">
        <v>92</v>
      </c>
      <c r="S1" s="84" t="s">
        <v>93</v>
      </c>
      <c r="T1" s="84" t="s">
        <v>94</v>
      </c>
      <c r="U1" s="84" t="s">
        <v>95</v>
      </c>
      <c r="V1" s="84" t="s">
        <v>99</v>
      </c>
      <c r="W1" s="84" t="s">
        <v>96</v>
      </c>
      <c r="X1" s="84" t="s">
        <v>97</v>
      </c>
      <c r="Y1" s="84" t="s">
        <v>237</v>
      </c>
      <c r="Z1" s="84" t="s">
        <v>238</v>
      </c>
    </row>
    <row r="2" spans="1:26">
      <c r="A2" s="31" t="s">
        <v>61</v>
      </c>
      <c r="B2" s="86">
        <v>60</v>
      </c>
      <c r="C2" s="32">
        <f>SUM('l''arbre des technologies'!B3)</f>
        <v>2</v>
      </c>
      <c r="D2" s="32">
        <f>SUM('l''arbre des technologies'!E9:E10,'l''arbre des technologies'!E17)</f>
        <v>60</v>
      </c>
      <c r="E2" s="32">
        <f>SUM('l''arbre des technologies'!H7)</f>
        <v>34</v>
      </c>
      <c r="F2" s="32">
        <f>SUM('l''arbre des technologies'!K15)</f>
        <v>79</v>
      </c>
      <c r="I2" s="98"/>
      <c r="J2" s="108">
        <f>SUM(Table7[[#This Row],[Colonne4]:[Colonne6]])</f>
        <v>173</v>
      </c>
      <c r="K2" s="96">
        <f t="shared" ref="K2:K5" si="0">SUM(J2,M2:N2)</f>
        <v>233</v>
      </c>
      <c r="L2" s="31" t="s">
        <v>61</v>
      </c>
      <c r="M2" s="44">
        <v>10</v>
      </c>
      <c r="N2" s="44">
        <v>50</v>
      </c>
      <c r="Y2" s="147"/>
      <c r="Z2" s="147"/>
    </row>
    <row r="3" spans="1:26">
      <c r="A3" s="31" t="s">
        <v>62</v>
      </c>
      <c r="B3" s="86">
        <v>120</v>
      </c>
      <c r="C3" s="32">
        <f>SUM('l''arbre des technologies'!B4)</f>
        <v>2</v>
      </c>
      <c r="D3" s="32">
        <f>SUM('l''arbre des technologies'!E11:E12,'l''arbre des technologies'!E19)</f>
        <v>57</v>
      </c>
      <c r="E3" s="32">
        <f>SUM('l''arbre des technologies'!H3)</f>
        <v>22</v>
      </c>
      <c r="F3" s="32">
        <f>SUM('l''arbre des technologies'!K21)</f>
        <v>94</v>
      </c>
      <c r="I3" s="98"/>
      <c r="J3" s="108">
        <f>SUM(Table7[[#This Row],[Colonne4]:[Colonne6]])</f>
        <v>173</v>
      </c>
      <c r="K3" s="96">
        <f t="shared" si="0"/>
        <v>233</v>
      </c>
      <c r="L3" s="31" t="s">
        <v>62</v>
      </c>
      <c r="M3" s="44">
        <v>20</v>
      </c>
      <c r="N3" s="44">
        <v>40</v>
      </c>
      <c r="Y3" s="147"/>
      <c r="Z3" s="147"/>
    </row>
    <row r="4" spans="1:26">
      <c r="A4" s="31" t="s">
        <v>63</v>
      </c>
      <c r="B4" s="86">
        <v>22</v>
      </c>
      <c r="C4" s="40"/>
      <c r="D4" s="32">
        <f>SUM('l''arbre des technologies'!E3:E4,'l''arbre des technologies'!E15)</f>
        <v>48</v>
      </c>
      <c r="E4" s="32">
        <f>SUM('l''arbre des technologies'!H12)</f>
        <v>61</v>
      </c>
      <c r="F4" s="32">
        <f>SUM('l''arbre des technologies'!K13)</f>
        <v>66</v>
      </c>
      <c r="I4" s="98"/>
      <c r="J4" s="108">
        <f>SUM(Table7[[#This Row],[Colonne4]:[Colonne6]])</f>
        <v>175</v>
      </c>
      <c r="K4" s="96">
        <f>SUM(J4,M4:N4)</f>
        <v>235</v>
      </c>
      <c r="L4" s="31" t="s">
        <v>63</v>
      </c>
      <c r="M4" s="44">
        <v>50</v>
      </c>
      <c r="N4" s="44">
        <v>10</v>
      </c>
      <c r="Y4" s="147"/>
      <c r="Z4" s="147"/>
    </row>
    <row r="5" spans="1:26">
      <c r="A5" s="31" t="s">
        <v>64</v>
      </c>
      <c r="B5" s="86">
        <v>21</v>
      </c>
      <c r="C5" s="40"/>
      <c r="D5" s="32">
        <f>SUM('l''arbre des technologies'!E7:E8,'l''arbre des technologies'!E13)</f>
        <v>39</v>
      </c>
      <c r="E5" s="32">
        <f>SUM('l''arbre des technologies'!H5)</f>
        <v>46</v>
      </c>
      <c r="F5" s="32">
        <v>90</v>
      </c>
      <c r="I5" s="98"/>
      <c r="J5" s="108">
        <f>SUM(Table7[[#This Row],[Colonne4]:[Colonne6]])</f>
        <v>175</v>
      </c>
      <c r="K5" s="96">
        <f t="shared" si="0"/>
        <v>235</v>
      </c>
      <c r="L5" s="31" t="s">
        <v>64</v>
      </c>
      <c r="M5" s="44">
        <v>20</v>
      </c>
      <c r="N5" s="44">
        <v>40</v>
      </c>
      <c r="Y5" s="147"/>
      <c r="Z5" s="147"/>
    </row>
    <row r="6" spans="1:26">
      <c r="A6" s="31" t="s">
        <v>65</v>
      </c>
      <c r="B6" s="86">
        <v>10</v>
      </c>
      <c r="C6" s="40"/>
      <c r="D6" s="32">
        <f>SUM('l''arbre des technologies'!E5:E6,'l''arbre des technologies'!E21)</f>
        <v>68</v>
      </c>
      <c r="E6" s="32">
        <f>SUM('l''arbre des technologies'!H10)</f>
        <v>35</v>
      </c>
      <c r="F6" s="32">
        <f>SUM('l''arbre des technologies'!K19)</f>
        <v>71</v>
      </c>
      <c r="I6" s="98"/>
      <c r="J6" s="108">
        <f>SUM(Table7[[#This Row],[Colonne4]:[Colonne6]])</f>
        <v>174</v>
      </c>
      <c r="K6" s="96">
        <f>SUM(J6,M6:N6)</f>
        <v>234</v>
      </c>
      <c r="L6" s="31" t="s">
        <v>65</v>
      </c>
      <c r="M6" s="44">
        <v>50</v>
      </c>
      <c r="N6" s="44">
        <v>10</v>
      </c>
      <c r="Y6" s="147"/>
      <c r="Z6" s="147"/>
    </row>
    <row r="7" spans="1:26">
      <c r="A7" s="30" t="s">
        <v>66</v>
      </c>
      <c r="B7" s="86">
        <v>47</v>
      </c>
      <c r="C7" s="40"/>
      <c r="D7" s="33">
        <f>SUM('l''arbre des technologies'!E22)</f>
        <v>16</v>
      </c>
      <c r="E7" s="33">
        <f>SUM('l''arbre des technologies'!H6,'l''arbre des technologies'!H21)</f>
        <v>90</v>
      </c>
      <c r="F7" s="33">
        <f>SUM('l''arbre des technologies'!K6)</f>
        <v>10</v>
      </c>
      <c r="G7" s="33">
        <f>SUM('l''arbre des technologies'!N20)</f>
        <v>140</v>
      </c>
      <c r="I7" s="98"/>
      <c r="J7" s="108">
        <f>SUM(Table8[[#This Row],[Colonne4]:[Colonne7]])</f>
        <v>256</v>
      </c>
      <c r="K7" s="95">
        <f t="shared" ref="K7:K36" si="1">SUM(J7,W7:X7)</f>
        <v>256</v>
      </c>
      <c r="L7" s="30" t="s">
        <v>66</v>
      </c>
      <c r="O7" s="42">
        <v>40</v>
      </c>
      <c r="P7" s="42">
        <v>80</v>
      </c>
      <c r="Y7" s="147"/>
      <c r="Z7" s="147"/>
    </row>
    <row r="8" spans="1:26">
      <c r="A8" s="30" t="s">
        <v>67</v>
      </c>
      <c r="B8" s="86">
        <v>141</v>
      </c>
      <c r="C8" s="40"/>
      <c r="D8" s="33">
        <f>SUM('l''arbre des technologies'!E16)</f>
        <v>4</v>
      </c>
      <c r="E8" s="33">
        <f>SUM('l''arbre des technologies'!H4,'l''arbre des technologies'!H13)</f>
        <v>63</v>
      </c>
      <c r="F8" s="33">
        <f>SUM('l''arbre des technologies'!K4)</f>
        <v>42</v>
      </c>
      <c r="G8" s="33">
        <v>140</v>
      </c>
      <c r="I8" s="98"/>
      <c r="J8" s="108">
        <f>SUM(Table8[[#This Row],[Colonne4]:[Colonne7]])</f>
        <v>249</v>
      </c>
      <c r="K8" s="95">
        <f t="shared" si="1"/>
        <v>249</v>
      </c>
      <c r="L8" s="30" t="s">
        <v>67</v>
      </c>
      <c r="O8" s="42">
        <v>60</v>
      </c>
      <c r="P8" s="42">
        <v>60</v>
      </c>
      <c r="Y8" s="147"/>
      <c r="Z8" s="147"/>
    </row>
    <row r="9" spans="1:26">
      <c r="A9" s="30" t="s">
        <v>68</v>
      </c>
      <c r="B9" s="86">
        <v>51</v>
      </c>
      <c r="C9" s="40"/>
      <c r="D9" s="33">
        <f>SUM('l''arbre des technologies'!E14)</f>
        <v>3</v>
      </c>
      <c r="E9" s="33">
        <f>SUM('l''arbre des technologies'!H8,'l''arbre des technologies'!H15)</f>
        <v>70</v>
      </c>
      <c r="F9" s="33">
        <f>SUM('l''arbre des technologies'!K10)</f>
        <v>28</v>
      </c>
      <c r="G9" s="33">
        <f>SUM('l''arbre des technologies'!N16)</f>
        <v>150</v>
      </c>
      <c r="I9" s="98"/>
      <c r="J9" s="108">
        <f>SUM(Table8[[#This Row],[Colonne4]:[Colonne7]])</f>
        <v>251</v>
      </c>
      <c r="K9" s="95">
        <f t="shared" si="1"/>
        <v>251</v>
      </c>
      <c r="L9" s="30" t="s">
        <v>68</v>
      </c>
      <c r="O9" s="42">
        <v>80</v>
      </c>
      <c r="P9" s="42">
        <v>40</v>
      </c>
      <c r="Y9" s="147"/>
      <c r="Z9" s="147"/>
    </row>
    <row r="10" spans="1:26">
      <c r="A10" s="30" t="s">
        <v>9</v>
      </c>
      <c r="B10" s="86">
        <v>62</v>
      </c>
      <c r="C10" s="40"/>
      <c r="D10" s="33">
        <f>SUM('l''arbre des technologies'!E18)</f>
        <v>13</v>
      </c>
      <c r="E10" s="33">
        <f>SUM('l''arbre des technologies'!H9,'l''arbre des technologies'!H19)</f>
        <v>82</v>
      </c>
      <c r="F10" s="33">
        <f>SUM('l''arbre des technologies'!K12)</f>
        <v>47</v>
      </c>
      <c r="G10" s="33">
        <f>SUM('l''arbre des technologies'!N18)</f>
        <v>100</v>
      </c>
      <c r="I10" s="98"/>
      <c r="J10" s="108">
        <f>SUM(Table8[[#This Row],[Colonne4]:[Colonne7]])</f>
        <v>242</v>
      </c>
      <c r="K10" s="95">
        <f t="shared" si="1"/>
        <v>242</v>
      </c>
      <c r="L10" s="30" t="s">
        <v>9</v>
      </c>
      <c r="O10" s="42">
        <v>70</v>
      </c>
      <c r="P10" s="42">
        <v>50</v>
      </c>
      <c r="Y10" s="147"/>
      <c r="Z10" s="147"/>
    </row>
    <row r="11" spans="1:26">
      <c r="A11" s="30" t="s">
        <v>69</v>
      </c>
      <c r="B11" s="86">
        <v>57</v>
      </c>
      <c r="C11" s="40"/>
      <c r="D11" s="33">
        <f>SUM('l''arbre des technologies'!E20)</f>
        <v>11</v>
      </c>
      <c r="E11" s="33">
        <f>SUM('l''arbre des technologies'!H11,'l''arbre des technologies'!H17)</f>
        <v>77</v>
      </c>
      <c r="F11" s="33">
        <f>SUM('l''arbre des technologies'!K8)</f>
        <v>30</v>
      </c>
      <c r="G11" s="33">
        <f>SUM('l''arbre des technologies'!N22)</f>
        <v>130</v>
      </c>
      <c r="I11" s="98"/>
      <c r="J11" s="108">
        <f>SUM(Table8[[#This Row],[Colonne4]:[Colonne7]])</f>
        <v>248</v>
      </c>
      <c r="K11" s="95">
        <f t="shared" si="1"/>
        <v>248</v>
      </c>
      <c r="L11" s="30" t="s">
        <v>69</v>
      </c>
      <c r="O11" s="42">
        <v>50</v>
      </c>
      <c r="P11" s="42">
        <v>70</v>
      </c>
      <c r="Y11" s="147"/>
      <c r="Z11" s="147"/>
    </row>
    <row r="12" spans="1:26">
      <c r="A12" s="36" t="s">
        <v>70</v>
      </c>
      <c r="B12" s="86">
        <v>40</v>
      </c>
      <c r="C12" s="40"/>
      <c r="D12" s="40"/>
      <c r="E12" s="37">
        <f>SUM('l''arbre des technologies'!H16)</f>
        <v>14</v>
      </c>
      <c r="F12" s="37">
        <f>SUM('l''arbre des technologies'!K3)</f>
        <v>20</v>
      </c>
      <c r="G12" s="37">
        <f>SUM('l''arbre des technologies'!N12)</f>
        <v>200</v>
      </c>
      <c r="H12" s="37">
        <f>SUM('l''arbre des technologies'!Q24)</f>
        <v>120</v>
      </c>
      <c r="I12" s="98"/>
      <c r="J12" s="108">
        <f>SUM(Table8[[#This Row],[Colonne5]:[Colonne8]])</f>
        <v>354</v>
      </c>
      <c r="K12" s="96">
        <f t="shared" si="1"/>
        <v>354</v>
      </c>
      <c r="L12" s="36" t="s">
        <v>70</v>
      </c>
      <c r="Q12" s="43">
        <v>140</v>
      </c>
      <c r="R12" s="43">
        <v>60</v>
      </c>
      <c r="Y12" s="147"/>
      <c r="Z12" s="147"/>
    </row>
    <row r="13" spans="1:26">
      <c r="A13" s="36" t="s">
        <v>71</v>
      </c>
      <c r="B13" s="86">
        <v>64</v>
      </c>
      <c r="C13" s="40"/>
      <c r="D13" s="40"/>
      <c r="E13" s="37">
        <v>23</v>
      </c>
      <c r="F13" s="37">
        <f>SUM('l''arbre des technologies'!K5)</f>
        <v>20</v>
      </c>
      <c r="G13" s="37">
        <f>SUM('l''arbre des technologies'!N8)</f>
        <v>150</v>
      </c>
      <c r="H13" s="37">
        <f>SUM('l''arbre des technologies'!Q22,'l''arbre des technologies'!Q30)</f>
        <v>160</v>
      </c>
      <c r="I13" s="98"/>
      <c r="J13" s="108">
        <f>SUM(Table8[[#This Row],[Colonne5]:[Colonne8]])</f>
        <v>353</v>
      </c>
      <c r="K13" s="96">
        <f t="shared" si="1"/>
        <v>353</v>
      </c>
      <c r="L13" s="36" t="s">
        <v>71</v>
      </c>
      <c r="Q13" s="43">
        <v>120</v>
      </c>
      <c r="R13" s="43">
        <v>80</v>
      </c>
      <c r="Y13" s="147"/>
      <c r="Z13" s="147"/>
    </row>
    <row r="14" spans="1:26">
      <c r="A14" s="36" t="s">
        <v>72</v>
      </c>
      <c r="B14" s="86">
        <v>64</v>
      </c>
      <c r="C14" s="40"/>
      <c r="D14" s="40"/>
      <c r="E14" s="37">
        <f>SUM('l''arbre des technologies'!H14)</f>
        <v>4</v>
      </c>
      <c r="F14" s="37">
        <f>SUM('l''arbre des technologies'!K9)</f>
        <v>60</v>
      </c>
      <c r="G14" s="37">
        <f>SUM('l''arbre des technologies'!N10)</f>
        <v>140</v>
      </c>
      <c r="H14" s="37">
        <f>SUM('l''arbre des technologies'!Q17)</f>
        <v>150</v>
      </c>
      <c r="I14" s="98"/>
      <c r="J14" s="108">
        <f>SUM(Table8[[#This Row],[Colonne5]:[Colonne8]])</f>
        <v>354</v>
      </c>
      <c r="K14" s="96">
        <f t="shared" si="1"/>
        <v>354</v>
      </c>
      <c r="L14" s="36" t="s">
        <v>72</v>
      </c>
      <c r="Q14" s="43">
        <v>40</v>
      </c>
      <c r="R14" s="43">
        <v>160</v>
      </c>
      <c r="Y14" s="147"/>
      <c r="Z14" s="147"/>
    </row>
    <row r="15" spans="1:26">
      <c r="A15" s="36" t="s">
        <v>73</v>
      </c>
      <c r="B15" s="86">
        <v>36</v>
      </c>
      <c r="C15" s="40"/>
      <c r="D15" s="40"/>
      <c r="E15" s="37">
        <f>SUM('l''arbre des technologies'!H18)</f>
        <v>20</v>
      </c>
      <c r="F15" s="37">
        <f>SUM('l''arbre des technologies'!K7)</f>
        <v>30</v>
      </c>
      <c r="G15" s="37">
        <f>SUM('l''arbre des technologies'!N6)</f>
        <v>140</v>
      </c>
      <c r="H15" s="37">
        <f>SUM('l''arbre des technologies'!Q6)</f>
        <v>160</v>
      </c>
      <c r="I15" s="98"/>
      <c r="J15" s="108">
        <f>SUM(Table8[[#This Row],[Colonne5]:[Colonne8]])</f>
        <v>350</v>
      </c>
      <c r="K15" s="96">
        <f t="shared" si="1"/>
        <v>350</v>
      </c>
      <c r="L15" s="36" t="s">
        <v>73</v>
      </c>
      <c r="Q15" s="43">
        <v>80</v>
      </c>
      <c r="R15" s="43">
        <v>120</v>
      </c>
      <c r="Y15" s="147"/>
      <c r="Z15" s="147"/>
    </row>
    <row r="16" spans="1:26">
      <c r="A16" s="36" t="s">
        <v>27</v>
      </c>
      <c r="B16" s="86">
        <v>9</v>
      </c>
      <c r="C16" s="40"/>
      <c r="D16" s="40"/>
      <c r="E16" s="37">
        <f>SUM('l''arbre des technologies'!H22)</f>
        <v>30</v>
      </c>
      <c r="F16" s="37">
        <f>SUM('l''arbre des technologies'!K11)</f>
        <v>41</v>
      </c>
      <c r="G16" s="37">
        <f>SUM('l''arbre des technologies'!N4)</f>
        <v>110</v>
      </c>
      <c r="H16" s="37">
        <f>SUM('l''arbre des technologies'!Q13,'l''arbre des technologies'!Q19:Q20,'l''arbre des technologies'!Q28)</f>
        <v>170</v>
      </c>
      <c r="I16" s="98"/>
      <c r="J16" s="108">
        <f>SUM(Table8[[#This Row],[Colonne5]:[Colonne8]])</f>
        <v>351</v>
      </c>
      <c r="K16" s="96">
        <f t="shared" si="1"/>
        <v>351</v>
      </c>
      <c r="L16" s="36" t="s">
        <v>27</v>
      </c>
      <c r="Q16" s="43">
        <v>120</v>
      </c>
      <c r="R16" s="43">
        <v>80</v>
      </c>
      <c r="Y16" s="147"/>
      <c r="Z16" s="147"/>
    </row>
    <row r="17" spans="1:26">
      <c r="A17" s="34" t="s">
        <v>74</v>
      </c>
      <c r="B17" s="86"/>
      <c r="C17" s="40"/>
      <c r="D17" s="40"/>
      <c r="E17" s="40"/>
      <c r="F17" s="35">
        <f>SUM('l''arbre des technologies'!K20)</f>
        <v>40</v>
      </c>
      <c r="G17" s="35">
        <f>SUM('l''arbre des technologies'!N5)</f>
        <v>60</v>
      </c>
      <c r="H17" s="35">
        <f>SUM('l''arbre des technologies'!Q10)</f>
        <v>100</v>
      </c>
      <c r="I17" s="35">
        <f>SUM('l''arbre des technologies'!T3,'l''arbre des technologies'!T37)</f>
        <v>160</v>
      </c>
      <c r="J17" s="108">
        <f>SUM(Table8[[#This Row],[Colonne6]:[Colonne9]])</f>
        <v>360</v>
      </c>
      <c r="K17" s="95">
        <f t="shared" si="1"/>
        <v>360</v>
      </c>
      <c r="L17" s="34" t="s">
        <v>74</v>
      </c>
      <c r="S17" s="46">
        <v>80</v>
      </c>
      <c r="T17" s="46">
        <v>220</v>
      </c>
      <c r="Y17" s="147"/>
      <c r="Z17" s="147"/>
    </row>
    <row r="18" spans="1:26">
      <c r="A18" s="34" t="s">
        <v>75</v>
      </c>
      <c r="B18" s="86"/>
      <c r="C18" s="40"/>
      <c r="D18" s="40"/>
      <c r="E18" s="40"/>
      <c r="F18" s="35">
        <f>SUM('l''arbre des technologies'!K14)</f>
        <v>4</v>
      </c>
      <c r="G18" s="35">
        <f>SUM('l''arbre des technologies'!N3)</f>
        <v>120</v>
      </c>
      <c r="H18" s="35">
        <f>SUM('l''arbre des technologies'!Q5)</f>
        <v>110</v>
      </c>
      <c r="I18" s="35">
        <f>SUM('l''arbre des technologies'!T16,'l''arbre des technologies'!T18)</f>
        <v>190</v>
      </c>
      <c r="J18" s="108">
        <f>SUM(Table8[[#This Row],[Colonne6]:[Colonne9]])</f>
        <v>424</v>
      </c>
      <c r="K18" s="95">
        <f t="shared" si="1"/>
        <v>424</v>
      </c>
      <c r="L18" s="34" t="s">
        <v>75</v>
      </c>
      <c r="S18" s="46">
        <v>120</v>
      </c>
      <c r="T18" s="46">
        <v>180</v>
      </c>
      <c r="Y18" s="147"/>
      <c r="Z18" s="147"/>
    </row>
    <row r="19" spans="1:26">
      <c r="A19" s="34" t="s">
        <v>76</v>
      </c>
      <c r="B19" s="86"/>
      <c r="C19" s="40"/>
      <c r="D19" s="40"/>
      <c r="E19" s="40"/>
      <c r="F19" s="35">
        <f>SUM('l''arbre des technologies'!K18)</f>
        <v>34</v>
      </c>
      <c r="G19" s="35">
        <v>80</v>
      </c>
      <c r="H19" s="35">
        <f>SUM('l''arbre des technologies'!Q11:Q12)</f>
        <v>110</v>
      </c>
      <c r="I19" s="35">
        <f>SUM('l''arbre des technologies'!T11)</f>
        <v>190</v>
      </c>
      <c r="J19" s="108">
        <f>SUM(Table8[[#This Row],[Colonne6]:[Colonne9]])</f>
        <v>414</v>
      </c>
      <c r="K19" s="95">
        <f t="shared" si="1"/>
        <v>414</v>
      </c>
      <c r="L19" s="34" t="s">
        <v>76</v>
      </c>
      <c r="S19" s="46">
        <v>160</v>
      </c>
      <c r="T19" s="46">
        <v>140</v>
      </c>
      <c r="Y19" s="147"/>
      <c r="Z19" s="147"/>
    </row>
    <row r="20" spans="1:26">
      <c r="A20" s="34" t="s">
        <v>77</v>
      </c>
      <c r="B20" s="86"/>
      <c r="C20" s="40"/>
      <c r="D20" s="40"/>
      <c r="E20" s="40"/>
      <c r="F20" s="35">
        <f>SUM('l''arbre des technologies'!K16)</f>
        <v>11</v>
      </c>
      <c r="G20" s="35">
        <f>SUM('l''arbre des technologies'!N9)</f>
        <v>100</v>
      </c>
      <c r="H20" s="35">
        <f>SUM('l''arbre des technologies'!Q7)</f>
        <v>100</v>
      </c>
      <c r="I20" s="35">
        <f>SUM('l''arbre des technologies'!T5,'l''arbre des technologies'!T27)</f>
        <v>210</v>
      </c>
      <c r="J20" s="108">
        <f>SUM(Table8[[#This Row],[Colonne6]:[Colonne9]])</f>
        <v>421</v>
      </c>
      <c r="K20" s="95">
        <f t="shared" si="1"/>
        <v>421</v>
      </c>
      <c r="L20" s="34" t="s">
        <v>77</v>
      </c>
      <c r="S20" s="46">
        <v>190</v>
      </c>
      <c r="T20" s="46">
        <v>110</v>
      </c>
      <c r="Y20" s="147"/>
      <c r="Z20" s="147"/>
    </row>
    <row r="21" spans="1:26">
      <c r="A21" s="34" t="s">
        <v>78</v>
      </c>
      <c r="B21" s="86"/>
      <c r="C21" s="40"/>
      <c r="D21" s="40"/>
      <c r="E21" s="40"/>
      <c r="F21" s="35">
        <f>SUM('l''arbre des technologies'!K22)</f>
        <v>50</v>
      </c>
      <c r="G21" s="35">
        <f>SUM('l''arbre des technologies'!N11)</f>
        <v>80</v>
      </c>
      <c r="H21" s="35">
        <f>SUM('l''arbre des technologies'!Q8)</f>
        <v>130</v>
      </c>
      <c r="I21" s="35">
        <f>SUM('l''arbre des technologies'!T4,'l''arbre des technologies'!T14,'l''arbre des technologies'!T28)</f>
        <v>160</v>
      </c>
      <c r="J21" s="108">
        <f>SUM(Table8[[#This Row],[Colonne6]:[Colonne9]])</f>
        <v>420</v>
      </c>
      <c r="K21" s="95">
        <f t="shared" si="1"/>
        <v>420</v>
      </c>
      <c r="L21" s="34" t="s">
        <v>78</v>
      </c>
      <c r="S21" s="46">
        <v>200</v>
      </c>
      <c r="T21" s="46">
        <v>100</v>
      </c>
      <c r="Y21" s="147"/>
      <c r="Z21" s="147"/>
    </row>
    <row r="22" spans="1:26">
      <c r="A22" s="105" t="s">
        <v>79</v>
      </c>
      <c r="B22" s="86"/>
      <c r="C22" s="40"/>
      <c r="D22" s="40"/>
      <c r="E22" s="40"/>
      <c r="F22" s="40"/>
      <c r="G22" s="89">
        <f>SUM('l''arbre des technologies'!N21)</f>
        <v>80</v>
      </c>
      <c r="H22" s="89">
        <f>SUM('l''arbre des technologies'!Q9,'l''arbre des technologies'!Q31:Q32)</f>
        <v>160</v>
      </c>
      <c r="I22" s="89">
        <f>SUM('l''arbre des technologies'!T6,'l''arbre des technologies'!T38)</f>
        <v>170</v>
      </c>
      <c r="J22" s="108">
        <f>SUM(Table8[[#This Row],[Colonne7]:[Colonne9]])</f>
        <v>410</v>
      </c>
      <c r="K22" s="96">
        <f t="shared" si="1"/>
        <v>410</v>
      </c>
      <c r="L22" s="105" t="s">
        <v>79</v>
      </c>
      <c r="U22" s="47">
        <v>130</v>
      </c>
      <c r="V22" s="47">
        <v>270</v>
      </c>
      <c r="Y22" s="147"/>
      <c r="Z22" s="147"/>
    </row>
    <row r="23" spans="1:26">
      <c r="A23" s="105" t="s">
        <v>80</v>
      </c>
      <c r="B23" s="86"/>
      <c r="C23" s="40"/>
      <c r="D23" s="40"/>
      <c r="E23" s="40"/>
      <c r="F23" s="40"/>
      <c r="G23" s="89">
        <f>SUM('l''arbre des technologies'!N17)</f>
        <v>50</v>
      </c>
      <c r="H23" s="89">
        <f>SUM('l''arbre des technologies'!Q4)</f>
        <v>60</v>
      </c>
      <c r="I23" s="89">
        <f>SUM('l''arbre des technologies'!T9,'l''arbre des technologies'!T40)</f>
        <v>260</v>
      </c>
      <c r="J23" s="108">
        <f>SUM(Table8[[#This Row],[Colonne7]:[Colonne9]])</f>
        <v>370</v>
      </c>
      <c r="K23" s="96">
        <f t="shared" si="1"/>
        <v>370</v>
      </c>
      <c r="L23" s="105" t="s">
        <v>80</v>
      </c>
      <c r="U23" s="47">
        <v>230</v>
      </c>
      <c r="V23" s="47">
        <v>170</v>
      </c>
      <c r="Y23" s="147"/>
      <c r="Z23" s="147"/>
    </row>
    <row r="24" spans="1:26">
      <c r="A24" s="105" t="s">
        <v>81</v>
      </c>
      <c r="B24" s="86"/>
      <c r="C24" s="40"/>
      <c r="D24" s="40"/>
      <c r="E24" s="40"/>
      <c r="F24" s="40"/>
      <c r="G24" s="89">
        <f>SUM('l''arbre des technologies'!N13)</f>
        <v>50</v>
      </c>
      <c r="H24" s="89">
        <f>SUM('l''arbre des technologies'!Q3,'l''arbre des technologies'!Q33:Q34)</f>
        <v>150</v>
      </c>
      <c r="I24" s="89">
        <f>SUM('l''arbre des technologies'!T36,'l''arbre des technologies'!T39)</f>
        <v>210</v>
      </c>
      <c r="J24" s="108">
        <f>SUM(Table8[[#This Row],[Colonne7]:[Colonne9]])</f>
        <v>410</v>
      </c>
      <c r="K24" s="96">
        <f t="shared" si="1"/>
        <v>410</v>
      </c>
      <c r="L24" s="105" t="s">
        <v>81</v>
      </c>
      <c r="U24" s="47">
        <v>130</v>
      </c>
      <c r="V24" s="47">
        <v>270</v>
      </c>
      <c r="Y24" s="147"/>
      <c r="Z24" s="147"/>
    </row>
    <row r="25" spans="1:26">
      <c r="A25" s="105" t="s">
        <v>82</v>
      </c>
      <c r="B25" s="86"/>
      <c r="C25" s="40"/>
      <c r="D25" s="40"/>
      <c r="E25" s="40"/>
      <c r="F25" s="40"/>
      <c r="G25" s="89">
        <f>SUM('l''arbre des technologies'!N19)</f>
        <v>70</v>
      </c>
      <c r="H25" s="89">
        <f>SUM('l''arbre des technologies'!Q16)</f>
        <v>140</v>
      </c>
      <c r="I25" s="89">
        <f>SUM('l''arbre des technologies'!T13)</f>
        <v>130</v>
      </c>
      <c r="J25" s="108">
        <f>SUM(Table8[[#This Row],[Colonne7]:[Colonne9]])</f>
        <v>340</v>
      </c>
      <c r="K25" s="96">
        <f t="shared" si="1"/>
        <v>340</v>
      </c>
      <c r="L25" s="105" t="s">
        <v>82</v>
      </c>
      <c r="U25" s="47">
        <v>250</v>
      </c>
      <c r="V25" s="47">
        <v>150</v>
      </c>
      <c r="Y25" s="147"/>
      <c r="Z25" s="147"/>
    </row>
    <row r="26" spans="1:26">
      <c r="A26" s="105" t="s">
        <v>83</v>
      </c>
      <c r="B26" s="86"/>
      <c r="C26" s="40"/>
      <c r="D26" s="40"/>
      <c r="E26" s="40"/>
      <c r="F26" s="40"/>
      <c r="G26" s="89">
        <f>SUM('l''arbre des technologies'!N15)</f>
        <v>40</v>
      </c>
      <c r="H26" s="89">
        <v>150</v>
      </c>
      <c r="I26" s="89">
        <f>SUM('l''arbre des technologies'!T7,'l''arbre des technologies'!T20,'l''arbre des technologies'!T34)</f>
        <v>210</v>
      </c>
      <c r="J26" s="108">
        <f>SUM(Table8[[#This Row],[Colonne7]:[Colonne9]])</f>
        <v>400</v>
      </c>
      <c r="K26" s="96">
        <f t="shared" si="1"/>
        <v>400</v>
      </c>
      <c r="L26" s="105" t="s">
        <v>83</v>
      </c>
      <c r="U26" s="47">
        <v>260</v>
      </c>
      <c r="V26" s="47">
        <v>140</v>
      </c>
      <c r="Y26" s="147"/>
      <c r="Z26" s="147"/>
    </row>
    <row r="27" spans="1:26">
      <c r="A27" s="38" t="s">
        <v>84</v>
      </c>
      <c r="B27" s="86"/>
      <c r="H27" s="39">
        <f>SUM('l''arbre des technologies'!Q14,'l''arbre des technologies'!Q18)</f>
        <v>40</v>
      </c>
      <c r="I27" s="39">
        <f>SUM('l''arbre des technologies'!T23,'l''arbre des technologies'!T29)</f>
        <v>150</v>
      </c>
      <c r="J27" s="108">
        <f>SUM(Table8[[#This Row],[Colonne8]:[Colonne9]])</f>
        <v>190</v>
      </c>
      <c r="K27" s="95">
        <f t="shared" si="1"/>
        <v>690</v>
      </c>
      <c r="L27" s="38" t="s">
        <v>84</v>
      </c>
      <c r="W27" s="45">
        <v>210</v>
      </c>
      <c r="X27" s="45">
        <v>290</v>
      </c>
      <c r="Y27" s="147"/>
      <c r="Z27" s="147"/>
    </row>
    <row r="28" spans="1:26">
      <c r="A28" s="38" t="s">
        <v>85</v>
      </c>
      <c r="B28" s="86"/>
      <c r="E28" s="87" t="s">
        <v>201</v>
      </c>
      <c r="H28" s="39">
        <f>SUM('l''arbre des technologies'!Q21)</f>
        <v>40</v>
      </c>
      <c r="I28" s="39">
        <f>SUM('l''arbre des technologies'!T17,'l''arbre des technologies'!T19)</f>
        <v>170</v>
      </c>
      <c r="J28" s="108">
        <f>SUM(Table8[[#This Row],[Colonne8]:[Colonne9]])</f>
        <v>210</v>
      </c>
      <c r="K28" s="95">
        <f>SUM(J28,W28:X28)</f>
        <v>710</v>
      </c>
      <c r="L28" s="38" t="s">
        <v>85</v>
      </c>
      <c r="W28" s="45">
        <v>230</v>
      </c>
      <c r="X28" s="45">
        <v>270</v>
      </c>
      <c r="Y28" s="147"/>
      <c r="Z28" s="147"/>
    </row>
    <row r="29" spans="1:26">
      <c r="A29" s="38" t="s">
        <v>86</v>
      </c>
      <c r="B29" s="86"/>
      <c r="H29" s="39">
        <f>SUM('l''arbre des technologies'!Q23)</f>
        <v>60</v>
      </c>
      <c r="I29" s="39">
        <f>SUM('l''arbre des technologies'!T24,'l''arbre des technologies'!T26)</f>
        <v>160</v>
      </c>
      <c r="J29" s="108">
        <f>SUM(Table8[[#This Row],[Colonne8]:[Colonne9]])</f>
        <v>220</v>
      </c>
      <c r="K29" s="95">
        <f>SUM(J29,W29:X29)</f>
        <v>720</v>
      </c>
      <c r="L29" s="38" t="s">
        <v>86</v>
      </c>
      <c r="W29" s="45">
        <v>180</v>
      </c>
      <c r="X29" s="45">
        <v>320</v>
      </c>
      <c r="Y29" s="147"/>
      <c r="Z29" s="147"/>
    </row>
    <row r="30" spans="1:26">
      <c r="A30" s="38" t="s">
        <v>87</v>
      </c>
      <c r="B30" s="86"/>
      <c r="H30" s="39">
        <f>SUM('l''arbre des technologies'!Q25:Q26)</f>
        <v>80</v>
      </c>
      <c r="I30" s="39">
        <f>SUM('l''arbre des technologies'!T33)</f>
        <v>120</v>
      </c>
      <c r="J30" s="108">
        <f>SUM(Table8[[#This Row],[Colonne8]:[Colonne9]])</f>
        <v>200</v>
      </c>
      <c r="K30" s="95">
        <f>SUM(J30,W30:X30)</f>
        <v>700</v>
      </c>
      <c r="L30" s="38" t="s">
        <v>87</v>
      </c>
      <c r="W30" s="45">
        <v>290</v>
      </c>
      <c r="X30" s="45">
        <v>210</v>
      </c>
      <c r="Y30" s="147"/>
      <c r="Z30" s="147"/>
    </row>
    <row r="31" spans="1:26">
      <c r="A31" s="38" t="s">
        <v>88</v>
      </c>
      <c r="B31" s="86"/>
      <c r="H31" s="39">
        <f>SUM('l''arbre des technologies'!Q29)</f>
        <v>80</v>
      </c>
      <c r="I31" s="39">
        <f>SUM('l''arbre des technologies'!T21)</f>
        <v>160</v>
      </c>
      <c r="J31" s="108">
        <f>SUM(Table8[[#This Row],[Colonne8]:[Colonne9]])</f>
        <v>240</v>
      </c>
      <c r="K31" s="95">
        <f>SUM(J31,W31:X31)</f>
        <v>740</v>
      </c>
      <c r="L31" s="38" t="s">
        <v>88</v>
      </c>
      <c r="W31" s="45">
        <v>340</v>
      </c>
      <c r="X31" s="45">
        <v>160</v>
      </c>
      <c r="Y31" s="147"/>
      <c r="Z31" s="147"/>
    </row>
    <row r="32" spans="1:26">
      <c r="A32" s="102" t="s">
        <v>232</v>
      </c>
      <c r="B32" s="100"/>
      <c r="C32" s="101"/>
      <c r="D32" s="101"/>
      <c r="E32" s="101"/>
      <c r="F32" s="101"/>
      <c r="G32" s="101"/>
      <c r="H32" s="104"/>
      <c r="I32" s="99">
        <f>SUM('l''arbre des technologies'!T35,'l''arbre des technologies'!T12)</f>
        <v>160</v>
      </c>
      <c r="J32" s="109">
        <f>SUM(Table8[[#This Row],[Colonne9]])</f>
        <v>160</v>
      </c>
      <c r="K32" s="96">
        <f>SUM(J32,Y32:Z32)</f>
        <v>760</v>
      </c>
      <c r="L32" s="103" t="s">
        <v>232</v>
      </c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148"/>
      <c r="X32" s="148"/>
      <c r="Y32" s="149">
        <v>200</v>
      </c>
      <c r="Z32" s="149">
        <v>400</v>
      </c>
    </row>
    <row r="33" spans="1:26">
      <c r="A33" s="102" t="s">
        <v>233</v>
      </c>
      <c r="B33" s="100"/>
      <c r="C33" s="101"/>
      <c r="D33" s="101"/>
      <c r="E33" s="101"/>
      <c r="F33" s="101"/>
      <c r="G33" s="101"/>
      <c r="H33" s="104"/>
      <c r="I33" s="99">
        <f>SUM('l''arbre des technologies'!T8,'l''arbre des technologies'!T32)</f>
        <v>100</v>
      </c>
      <c r="J33" s="109">
        <f>SUM(Table8[[#This Row],[Colonne8]:[Colonne9]])</f>
        <v>100</v>
      </c>
      <c r="K33" s="96">
        <f>SUM(J33,Y33:Z33)</f>
        <v>700</v>
      </c>
      <c r="L33" s="103" t="s">
        <v>233</v>
      </c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148"/>
      <c r="X33" s="148"/>
      <c r="Y33" s="149">
        <v>420</v>
      </c>
      <c r="Z33" s="149">
        <v>180</v>
      </c>
    </row>
    <row r="34" spans="1:26">
      <c r="A34" s="102" t="s">
        <v>234</v>
      </c>
      <c r="B34" s="100"/>
      <c r="C34" s="101"/>
      <c r="D34" s="101"/>
      <c r="E34" s="101"/>
      <c r="F34" s="101"/>
      <c r="G34" s="101"/>
      <c r="H34" s="104"/>
      <c r="I34" s="99">
        <f>SUM('l''arbre des technologies'!T25,'l''arbre des technologies'!T31)</f>
        <v>110</v>
      </c>
      <c r="J34" s="109">
        <f>SUM(Table8[[#This Row],[Colonne8]:[Colonne9]])</f>
        <v>110</v>
      </c>
      <c r="K34" s="96">
        <f>SUM(J34,Y34:Z34)</f>
        <v>710</v>
      </c>
      <c r="L34" s="103" t="s">
        <v>234</v>
      </c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148"/>
      <c r="X34" s="148"/>
      <c r="Y34" s="149">
        <v>420</v>
      </c>
      <c r="Z34" s="149">
        <v>180</v>
      </c>
    </row>
    <row r="35" spans="1:26">
      <c r="A35" s="102" t="s">
        <v>235</v>
      </c>
      <c r="B35" s="100"/>
      <c r="C35" s="101"/>
      <c r="D35" s="101"/>
      <c r="E35" s="101"/>
      <c r="F35" s="101"/>
      <c r="G35" s="101"/>
      <c r="H35" s="104"/>
      <c r="I35" s="99">
        <f>SUM('l''arbre des technologies'!T15,'l''arbre des technologies'!T30)</f>
        <v>95</v>
      </c>
      <c r="J35" s="109">
        <f>SUM(Table8[[#This Row],[Colonne8]:[Colonne9]])</f>
        <v>95</v>
      </c>
      <c r="K35" s="96">
        <f>SUM(J35,Y35:Z35)</f>
        <v>695</v>
      </c>
      <c r="L35" s="103" t="s">
        <v>235</v>
      </c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148"/>
      <c r="X35" s="148"/>
      <c r="Y35" s="149">
        <v>100</v>
      </c>
      <c r="Z35" s="149">
        <v>500</v>
      </c>
    </row>
    <row r="36" spans="1:26">
      <c r="A36" s="102" t="s">
        <v>236</v>
      </c>
      <c r="B36" s="100"/>
      <c r="C36" s="101"/>
      <c r="D36" s="101"/>
      <c r="E36" s="101"/>
      <c r="F36" s="101"/>
      <c r="G36" s="101"/>
      <c r="H36" s="104"/>
      <c r="I36" s="99">
        <f>SUM('l''arbre des technologies'!T10,'l''arbre des technologies'!T22)</f>
        <v>105</v>
      </c>
      <c r="J36" s="109">
        <f>SUM(Table8[[#This Row],[Colonne8]:[Colonne9]])</f>
        <v>105</v>
      </c>
      <c r="K36" s="96">
        <f>SUM(J36,Y36:Z36)</f>
        <v>705</v>
      </c>
      <c r="L36" s="107" t="s">
        <v>236</v>
      </c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48"/>
      <c r="X36" s="148"/>
      <c r="Y36" s="149">
        <v>360</v>
      </c>
      <c r="Z36" s="149">
        <v>240</v>
      </c>
    </row>
  </sheetData>
  <pageMargins left="0.75" right="0.75" top="1" bottom="1" header="0.5" footer="0.5"/>
  <pageSetup paperSize="9" orientation="portrait" horizontalDpi="4294967292" verticalDpi="4294967292"/>
  <drawing r:id="rId1"/>
  <picture r:id="rId2"/>
  <tableParts count="3">
    <tablePart r:id="rId3"/>
    <tablePart r:id="rId4"/>
    <tablePart r:id="rId5"/>
  </tablePart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8"/>
  <sheetViews>
    <sheetView topLeftCell="B4" zoomScale="90" zoomScaleNormal="90" zoomScalePageLayoutView="90" workbookViewId="0">
      <selection activeCell="H44" sqref="H44"/>
    </sheetView>
  </sheetViews>
  <sheetFormatPr baseColWidth="10" defaultRowHeight="14" x14ac:dyDescent="0"/>
  <cols>
    <col min="1" max="1" width="20.1640625" bestFit="1" customWidth="1"/>
    <col min="2" max="2" width="12.1640625" customWidth="1"/>
    <col min="3" max="3" width="19.6640625" bestFit="1" customWidth="1"/>
    <col min="10" max="10" width="11.6640625" bestFit="1" customWidth="1"/>
    <col min="14" max="14" width="13.5" customWidth="1"/>
  </cols>
  <sheetData>
    <row r="2" spans="1:17" ht="13.5" customHeight="1"/>
    <row r="3" spans="1:17" ht="42" customHeight="1">
      <c r="A3" s="1" t="s">
        <v>0</v>
      </c>
      <c r="B3" s="1" t="s">
        <v>52</v>
      </c>
      <c r="C3" s="1" t="s">
        <v>2</v>
      </c>
      <c r="D3" s="1" t="s">
        <v>49</v>
      </c>
      <c r="E3" s="1" t="s">
        <v>50</v>
      </c>
      <c r="F3" s="20" t="s">
        <v>51</v>
      </c>
      <c r="G3" s="20" t="s">
        <v>25</v>
      </c>
      <c r="H3" s="20" t="s">
        <v>26</v>
      </c>
      <c r="I3" s="1" t="s">
        <v>27</v>
      </c>
      <c r="J3" s="1" t="s">
        <v>31</v>
      </c>
      <c r="K3" s="20" t="s">
        <v>54</v>
      </c>
      <c r="L3" s="20" t="s">
        <v>28</v>
      </c>
      <c r="N3" t="s">
        <v>58</v>
      </c>
    </row>
    <row r="4" spans="1:17">
      <c r="A4" s="2" t="s">
        <v>3</v>
      </c>
      <c r="B4" s="2">
        <v>0</v>
      </c>
      <c r="C4" s="2" t="s">
        <v>4</v>
      </c>
      <c r="D4" s="2">
        <v>3</v>
      </c>
      <c r="E4" s="2">
        <v>3</v>
      </c>
      <c r="F4">
        <f>Tableau7[[#This Row],[Largeur (cases)]]*Tableau7[[#This Row],[Longueur (cases)]]</f>
        <v>9</v>
      </c>
      <c r="G4">
        <v>34</v>
      </c>
      <c r="H4">
        <v>28</v>
      </c>
      <c r="I4">
        <v>96</v>
      </c>
      <c r="J4">
        <v>0</v>
      </c>
      <c r="K4">
        <f>Tableau7[[#This Row],[Or]]+Tableau7[[#This Row],[March.]]</f>
        <v>96</v>
      </c>
      <c r="L4">
        <v>10</v>
      </c>
      <c r="N4" s="3">
        <f>Tableau7[[#This Row],[Taille (cases)]]+MIN(Tableau7[[#This Row],[Largeur (cases)]:[Longueur (cases)]])</f>
        <v>12</v>
      </c>
      <c r="O4" s="21">
        <f>MIN(N$4:N$18)/N4</f>
        <v>0.5</v>
      </c>
      <c r="P4">
        <f>Tableau7[[#This Row],[Production horaire]]*O4</f>
        <v>17</v>
      </c>
      <c r="Q4" s="28">
        <f>P4/MAX(P$4:P$18)</f>
        <v>6.2962962962962957E-2</v>
      </c>
    </row>
    <row r="5" spans="1:17">
      <c r="A5" t="s">
        <v>5</v>
      </c>
      <c r="B5">
        <v>1</v>
      </c>
      <c r="C5" t="s">
        <v>6</v>
      </c>
      <c r="D5">
        <v>4</v>
      </c>
      <c r="E5">
        <v>3</v>
      </c>
      <c r="F5">
        <f>Tableau7[[#This Row],[Largeur (cases)]]*Tableau7[[#This Row],[Longueur (cases)]]</f>
        <v>12</v>
      </c>
      <c r="G5">
        <v>50</v>
      </c>
      <c r="H5">
        <v>41</v>
      </c>
      <c r="I5">
        <v>240</v>
      </c>
      <c r="J5">
        <v>30</v>
      </c>
      <c r="K5">
        <f>Tableau7[[#This Row],[Or]]+Tableau7[[#This Row],[March.]]</f>
        <v>270</v>
      </c>
      <c r="L5">
        <v>16</v>
      </c>
      <c r="N5" s="3">
        <f>Tableau7[[#This Row],[Taille (cases)]]+MIN(Tableau7[[#This Row],[Largeur (cases)]:[Longueur (cases)]])</f>
        <v>15</v>
      </c>
      <c r="O5" s="21">
        <f t="shared" ref="O5:O18" si="0">MIN(N$4:N$18)/N5</f>
        <v>0.4</v>
      </c>
      <c r="P5">
        <f>Tableau7[[#This Row],[Production horaire]]*O5</f>
        <v>20</v>
      </c>
      <c r="Q5" s="28">
        <f t="shared" ref="Q5:Q18" si="1">P5/MAX(P$4:P$18)</f>
        <v>7.407407407407407E-2</v>
      </c>
    </row>
    <row r="6" spans="1:17">
      <c r="A6" t="s">
        <v>5</v>
      </c>
      <c r="B6">
        <v>2</v>
      </c>
      <c r="C6" t="s">
        <v>7</v>
      </c>
      <c r="D6">
        <v>5</v>
      </c>
      <c r="E6">
        <v>4</v>
      </c>
      <c r="F6">
        <f>Tableau7[[#This Row],[Largeur (cases)]]*Tableau7[[#This Row],[Longueur (cases)]]</f>
        <v>20</v>
      </c>
      <c r="G6">
        <v>130</v>
      </c>
      <c r="H6">
        <v>50</v>
      </c>
      <c r="I6">
        <v>1750</v>
      </c>
      <c r="J6">
        <v>130</v>
      </c>
      <c r="K6">
        <f>Tableau7[[#This Row],[Or]]+Tableau7[[#This Row],[March.]]</f>
        <v>1880</v>
      </c>
      <c r="L6">
        <v>43</v>
      </c>
      <c r="N6" s="3">
        <f>Tableau7[[#This Row],[Taille (cases)]]+MIN(Tableau7[[#This Row],[Largeur (cases)]:[Longueur (cases)]])</f>
        <v>24</v>
      </c>
      <c r="O6" s="21">
        <f t="shared" si="0"/>
        <v>0.25</v>
      </c>
      <c r="P6">
        <f>Tableau7[[#This Row],[Production horaire]]*O6</f>
        <v>32.5</v>
      </c>
      <c r="Q6" s="28">
        <f t="shared" si="1"/>
        <v>0.12037037037037036</v>
      </c>
    </row>
    <row r="7" spans="1:17">
      <c r="A7" t="s">
        <v>5</v>
      </c>
      <c r="B7">
        <v>3</v>
      </c>
      <c r="C7" t="s">
        <v>8</v>
      </c>
      <c r="D7">
        <v>2</v>
      </c>
      <c r="E7">
        <v>2</v>
      </c>
      <c r="F7">
        <f>Tableau7[[#This Row],[Largeur (cases)]]*Tableau7[[#This Row],[Longueur (cases)]]</f>
        <v>4</v>
      </c>
      <c r="G7">
        <v>32</v>
      </c>
      <c r="H7">
        <v>12</v>
      </c>
      <c r="I7">
        <v>430</v>
      </c>
      <c r="J7">
        <v>40</v>
      </c>
      <c r="K7">
        <f>Tableau7[[#This Row],[Or]]+Tableau7[[#This Row],[March.]]</f>
        <v>470</v>
      </c>
      <c r="L7">
        <v>22</v>
      </c>
      <c r="N7" s="3">
        <f>Tableau7[[#This Row],[Taille (cases)]]+MIN(Tableau7[[#This Row],[Largeur (cases)]:[Longueur (cases)]])</f>
        <v>6</v>
      </c>
      <c r="O7" s="21">
        <f t="shared" si="0"/>
        <v>1</v>
      </c>
      <c r="P7">
        <f>Tableau7[[#This Row],[Production horaire]]*O7</f>
        <v>32</v>
      </c>
      <c r="Q7" s="28">
        <f t="shared" si="1"/>
        <v>0.11851851851851852</v>
      </c>
    </row>
    <row r="8" spans="1:17">
      <c r="A8" t="s">
        <v>9</v>
      </c>
      <c r="B8">
        <v>4</v>
      </c>
      <c r="C8" t="s">
        <v>10</v>
      </c>
      <c r="D8">
        <v>4</v>
      </c>
      <c r="E8">
        <v>5</v>
      </c>
      <c r="F8">
        <f>Tableau7[[#This Row],[Largeur (cases)]]*Tableau7[[#This Row],[Longueur (cases)]]</f>
        <v>20</v>
      </c>
      <c r="G8">
        <v>220</v>
      </c>
      <c r="H8">
        <v>122</v>
      </c>
      <c r="I8">
        <v>4800</v>
      </c>
      <c r="J8">
        <v>680</v>
      </c>
      <c r="K8">
        <f>Tableau7[[#This Row],[Or]]+Tableau7[[#This Row],[March.]]</f>
        <v>5480</v>
      </c>
      <c r="L8">
        <v>74</v>
      </c>
      <c r="N8" s="3">
        <f>Tableau7[[#This Row],[Taille (cases)]]+MIN(Tableau7[[#This Row],[Largeur (cases)]:[Longueur (cases)]])</f>
        <v>24</v>
      </c>
      <c r="O8" s="21">
        <f t="shared" si="0"/>
        <v>0.25</v>
      </c>
      <c r="P8">
        <f>Tableau7[[#This Row],[Production horaire]]*O8</f>
        <v>55</v>
      </c>
      <c r="Q8" s="28">
        <f t="shared" si="1"/>
        <v>0.20370370370370369</v>
      </c>
    </row>
    <row r="9" spans="1:17">
      <c r="A9" s="2" t="s">
        <v>9</v>
      </c>
      <c r="B9" s="2">
        <v>5</v>
      </c>
      <c r="C9" s="2" t="s">
        <v>38</v>
      </c>
      <c r="D9" s="2">
        <v>4</v>
      </c>
      <c r="E9" s="2">
        <v>3</v>
      </c>
      <c r="F9">
        <f>Tableau7[[#This Row],[Largeur (cases)]]*Tableau7[[#This Row],[Longueur (cases)]]</f>
        <v>12</v>
      </c>
      <c r="G9">
        <v>160</v>
      </c>
      <c r="H9">
        <v>66</v>
      </c>
      <c r="I9">
        <v>4100</v>
      </c>
      <c r="J9">
        <v>410</v>
      </c>
      <c r="K9">
        <f>Tableau7[[#This Row],[Or]]+Tableau7[[#This Row],[March.]]</f>
        <v>4510</v>
      </c>
      <c r="L9">
        <v>67</v>
      </c>
      <c r="N9" s="3">
        <f>Tableau7[[#This Row],[Taille (cases)]]+MIN(Tableau7[[#This Row],[Largeur (cases)]:[Longueur (cases)]])</f>
        <v>15</v>
      </c>
      <c r="O9" s="21">
        <f t="shared" si="0"/>
        <v>0.4</v>
      </c>
      <c r="P9">
        <f>Tableau7[[#This Row],[Production horaire]]*O9</f>
        <v>64</v>
      </c>
      <c r="Q9" s="28">
        <f t="shared" si="1"/>
        <v>0.23703703703703705</v>
      </c>
    </row>
    <row r="10" spans="1:17">
      <c r="A10" t="s">
        <v>12</v>
      </c>
      <c r="B10">
        <v>6</v>
      </c>
      <c r="C10" t="s">
        <v>13</v>
      </c>
      <c r="D10">
        <v>3</v>
      </c>
      <c r="E10">
        <v>3</v>
      </c>
      <c r="F10">
        <f>Tableau7[[#This Row],[Largeur (cases)]]*Tableau7[[#This Row],[Longueur (cases)]]</f>
        <v>9</v>
      </c>
      <c r="G10">
        <v>160</v>
      </c>
      <c r="H10">
        <v>54</v>
      </c>
      <c r="I10">
        <v>7800</v>
      </c>
      <c r="J10">
        <v>1800</v>
      </c>
      <c r="K10">
        <f>Tableau7[[#This Row],[Or]]+Tableau7[[#This Row],[March.]]</f>
        <v>9600</v>
      </c>
      <c r="L10">
        <v>98</v>
      </c>
      <c r="N10" s="3">
        <f>Tableau7[[#This Row],[Taille (cases)]]+MIN(Tableau7[[#This Row],[Largeur (cases)]:[Longueur (cases)]])</f>
        <v>12</v>
      </c>
      <c r="O10" s="21">
        <f t="shared" si="0"/>
        <v>0.5</v>
      </c>
      <c r="P10">
        <f>Tableau7[[#This Row],[Production horaire]]*O10</f>
        <v>80</v>
      </c>
      <c r="Q10" s="28">
        <f t="shared" si="1"/>
        <v>0.29629629629629628</v>
      </c>
    </row>
    <row r="11" spans="1:17">
      <c r="A11" t="s">
        <v>12</v>
      </c>
      <c r="B11">
        <v>7</v>
      </c>
      <c r="C11" t="s">
        <v>14</v>
      </c>
      <c r="D11">
        <v>3</v>
      </c>
      <c r="E11">
        <v>3</v>
      </c>
      <c r="F11">
        <f>Tableau7[[#This Row],[Largeur (cases)]]*Tableau7[[#This Row],[Longueur (cases)]]</f>
        <v>9</v>
      </c>
      <c r="G11">
        <v>210</v>
      </c>
      <c r="H11">
        <v>77</v>
      </c>
      <c r="I11">
        <v>12100</v>
      </c>
      <c r="J11">
        <v>1500</v>
      </c>
      <c r="K11">
        <f>Tableau7[[#This Row],[Or]]+Tableau7[[#This Row],[March.]]</f>
        <v>13600</v>
      </c>
      <c r="L11">
        <v>117</v>
      </c>
      <c r="N11" s="3">
        <f>Tableau7[[#This Row],[Taille (cases)]]+MIN(Tableau7[[#This Row],[Largeur (cases)]:[Longueur (cases)]])</f>
        <v>12</v>
      </c>
      <c r="O11" s="21">
        <f t="shared" si="0"/>
        <v>0.5</v>
      </c>
      <c r="P11">
        <f>Tableau7[[#This Row],[Production horaire]]*O11</f>
        <v>105</v>
      </c>
      <c r="Q11" s="28">
        <f t="shared" si="1"/>
        <v>0.3888888888888889</v>
      </c>
    </row>
    <row r="12" spans="1:17">
      <c r="A12" t="s">
        <v>15</v>
      </c>
      <c r="B12">
        <v>8</v>
      </c>
      <c r="C12" t="s">
        <v>16</v>
      </c>
      <c r="D12">
        <v>3</v>
      </c>
      <c r="E12">
        <v>2</v>
      </c>
      <c r="F12">
        <f>Tableau7[[#This Row],[Largeur (cases)]]*Tableau7[[#This Row],[Longueur (cases)]]</f>
        <v>6</v>
      </c>
      <c r="G12">
        <v>180</v>
      </c>
      <c r="H12">
        <v>40</v>
      </c>
      <c r="I12">
        <v>15000</v>
      </c>
      <c r="J12">
        <v>3100</v>
      </c>
      <c r="K12">
        <f>Tableau7[[#This Row],[Or]]+Tableau7[[#This Row],[March.]]</f>
        <v>18100</v>
      </c>
      <c r="L12">
        <v>135</v>
      </c>
      <c r="N12" s="3">
        <f>Tableau7[[#This Row],[Taille (cases)]]+MIN(Tableau7[[#This Row],[Largeur (cases)]:[Longueur (cases)]])</f>
        <v>8</v>
      </c>
      <c r="O12" s="21">
        <f t="shared" si="0"/>
        <v>0.75</v>
      </c>
      <c r="P12">
        <f>Tableau7[[#This Row],[Production horaire]]*O12</f>
        <v>135</v>
      </c>
      <c r="Q12" s="28">
        <f t="shared" si="1"/>
        <v>0.5</v>
      </c>
    </row>
    <row r="13" spans="1:17">
      <c r="A13" t="s">
        <v>15</v>
      </c>
      <c r="B13">
        <v>9</v>
      </c>
      <c r="C13" t="s">
        <v>17</v>
      </c>
      <c r="D13">
        <v>4</v>
      </c>
      <c r="E13">
        <v>5</v>
      </c>
      <c r="F13">
        <f>Tableau7[[#This Row],[Largeur (cases)]]*Tableau7[[#This Row],[Longueur (cases)]]</f>
        <v>20</v>
      </c>
      <c r="G13">
        <v>730</v>
      </c>
      <c r="H13">
        <v>269</v>
      </c>
      <c r="I13">
        <v>64000</v>
      </c>
      <c r="J13">
        <v>560</v>
      </c>
      <c r="K13">
        <f>Tableau7[[#This Row],[Or]]+Tableau7[[#This Row],[March.]]</f>
        <v>64560</v>
      </c>
      <c r="L13">
        <v>264</v>
      </c>
      <c r="N13" s="3">
        <f>Tableau7[[#This Row],[Taille (cases)]]+MIN(Tableau7[[#This Row],[Largeur (cases)]:[Longueur (cases)]])</f>
        <v>24</v>
      </c>
      <c r="O13" s="21">
        <f t="shared" si="0"/>
        <v>0.25</v>
      </c>
      <c r="P13">
        <f>Tableau7[[#This Row],[Production horaire]]*O13</f>
        <v>182.5</v>
      </c>
      <c r="Q13" s="28">
        <f t="shared" si="1"/>
        <v>0.67592592592592593</v>
      </c>
    </row>
    <row r="14" spans="1:17">
      <c r="A14" t="s">
        <v>18</v>
      </c>
      <c r="B14">
        <v>10</v>
      </c>
      <c r="C14" t="s">
        <v>19</v>
      </c>
      <c r="D14">
        <v>3</v>
      </c>
      <c r="E14">
        <v>4</v>
      </c>
      <c r="F14">
        <f>Tableau7[[#This Row],[Largeur (cases)]]*Tableau7[[#This Row],[Longueur (cases)]]</f>
        <v>12</v>
      </c>
      <c r="G14">
        <v>490</v>
      </c>
      <c r="H14">
        <v>164</v>
      </c>
      <c r="I14">
        <v>61000</v>
      </c>
      <c r="J14">
        <v>10800</v>
      </c>
      <c r="K14">
        <f>Tableau7[[#This Row],[Or]]+Tableau7[[#This Row],[March.]]</f>
        <v>71800</v>
      </c>
      <c r="L14">
        <v>268</v>
      </c>
      <c r="N14" s="3">
        <f>Tableau7[[#This Row],[Taille (cases)]]+MIN(Tableau7[[#This Row],[Largeur (cases)]:[Longueur (cases)]])</f>
        <v>15</v>
      </c>
      <c r="O14" s="21">
        <f t="shared" si="0"/>
        <v>0.4</v>
      </c>
      <c r="P14">
        <f>Tableau7[[#This Row],[Production horaire]]*O14</f>
        <v>196</v>
      </c>
      <c r="Q14" s="28">
        <f t="shared" si="1"/>
        <v>0.72592592592592597</v>
      </c>
    </row>
    <row r="15" spans="1:17">
      <c r="A15" t="s">
        <v>18</v>
      </c>
      <c r="B15">
        <v>11</v>
      </c>
      <c r="C15" t="s">
        <v>20</v>
      </c>
      <c r="D15">
        <v>3</v>
      </c>
      <c r="E15">
        <v>3</v>
      </c>
      <c r="F15">
        <f>Tableau7[[#This Row],[Largeur (cases)]]*Tableau7[[#This Row],[Longueur (cases)]]</f>
        <v>9</v>
      </c>
      <c r="G15">
        <v>400</v>
      </c>
      <c r="H15">
        <v>136</v>
      </c>
      <c r="I15">
        <v>56000</v>
      </c>
      <c r="J15">
        <v>9500</v>
      </c>
      <c r="K15">
        <f>Tableau7[[#This Row],[Or]]+Tableau7[[#This Row],[March.]]</f>
        <v>65500</v>
      </c>
      <c r="L15">
        <v>256</v>
      </c>
      <c r="N15" s="3">
        <f>Tableau7[[#This Row],[Taille (cases)]]+MIN(Tableau7[[#This Row],[Largeur (cases)]:[Longueur (cases)]])</f>
        <v>12</v>
      </c>
      <c r="O15" s="21">
        <f t="shared" si="0"/>
        <v>0.5</v>
      </c>
      <c r="P15">
        <f>Tableau7[[#This Row],[Production horaire]]*O15</f>
        <v>200</v>
      </c>
      <c r="Q15" s="28">
        <f t="shared" si="1"/>
        <v>0.7407407407407407</v>
      </c>
    </row>
    <row r="16" spans="1:17">
      <c r="A16" s="2" t="s">
        <v>21</v>
      </c>
      <c r="B16" s="2">
        <v>12</v>
      </c>
      <c r="C16" s="2" t="s">
        <v>22</v>
      </c>
      <c r="D16" s="2">
        <v>3</v>
      </c>
      <c r="E16" s="2">
        <v>3</v>
      </c>
      <c r="F16">
        <f>Tableau7[[#This Row],[Largeur (cases)]]*Tableau7[[#This Row],[Longueur (cases)]]</f>
        <v>9</v>
      </c>
      <c r="G16">
        <v>470</v>
      </c>
      <c r="H16">
        <v>147</v>
      </c>
      <c r="I16">
        <v>59000</v>
      </c>
      <c r="J16">
        <v>7700</v>
      </c>
      <c r="K16">
        <f>Tableau7[[#This Row],[Or]]+Tableau7[[#This Row],[March.]]</f>
        <v>66700</v>
      </c>
      <c r="L16">
        <v>258</v>
      </c>
      <c r="N16" s="3">
        <f>Tableau7[[#This Row],[Taille (cases)]]+MIN(Tableau7[[#This Row],[Largeur (cases)]:[Longueur (cases)]])</f>
        <v>12</v>
      </c>
      <c r="O16" s="21">
        <f t="shared" si="0"/>
        <v>0.5</v>
      </c>
      <c r="P16">
        <f>Tableau7[[#This Row],[Production horaire]]*O16</f>
        <v>235</v>
      </c>
      <c r="Q16" s="28">
        <f t="shared" si="1"/>
        <v>0.87037037037037035</v>
      </c>
    </row>
    <row r="17" spans="1:17">
      <c r="A17" s="2" t="s">
        <v>21</v>
      </c>
      <c r="B17" s="2">
        <v>13</v>
      </c>
      <c r="C17" s="2" t="s">
        <v>23</v>
      </c>
      <c r="D17" s="2">
        <v>4</v>
      </c>
      <c r="E17" s="2">
        <v>4</v>
      </c>
      <c r="F17">
        <f>Tableau7[[#This Row],[Largeur (cases)]]*Tableau7[[#This Row],[Longueur (cases)]]</f>
        <v>16</v>
      </c>
      <c r="G17">
        <v>900</v>
      </c>
      <c r="H17">
        <v>365</v>
      </c>
      <c r="I17">
        <v>81000</v>
      </c>
      <c r="J17">
        <v>15700</v>
      </c>
      <c r="K17">
        <f>Tableau7[[#This Row],[Or]]+Tableau7[[#This Row],[March.]]</f>
        <v>96700</v>
      </c>
      <c r="L17">
        <v>310</v>
      </c>
      <c r="N17" s="3">
        <f>Tableau7[[#This Row],[Taille (cases)]]+MIN(Tableau7[[#This Row],[Largeur (cases)]:[Longueur (cases)]])</f>
        <v>20</v>
      </c>
      <c r="O17" s="21">
        <f t="shared" si="0"/>
        <v>0.3</v>
      </c>
      <c r="P17">
        <f>Tableau7[[#This Row],[Production horaire]]*O17</f>
        <v>270</v>
      </c>
      <c r="Q17" s="28">
        <f t="shared" si="1"/>
        <v>1</v>
      </c>
    </row>
    <row r="18" spans="1:17">
      <c r="A18" s="2" t="s">
        <v>21</v>
      </c>
      <c r="B18" s="2">
        <v>14</v>
      </c>
      <c r="C18" s="2" t="s">
        <v>24</v>
      </c>
      <c r="D18" s="2">
        <v>3</v>
      </c>
      <c r="E18" s="2">
        <v>2</v>
      </c>
      <c r="F18">
        <f>Tableau7[[#This Row],[Largeur (cases)]]*Tableau7[[#This Row],[Longueur (cases)]]</f>
        <v>6</v>
      </c>
      <c r="G18">
        <v>320</v>
      </c>
      <c r="H18">
        <v>68</v>
      </c>
      <c r="I18">
        <v>43000</v>
      </c>
      <c r="J18">
        <v>7400</v>
      </c>
      <c r="K18">
        <f>Tableau7[[#This Row],[Or]]+Tableau7[[#This Row],[March.]]</f>
        <v>50400</v>
      </c>
      <c r="L18">
        <v>224</v>
      </c>
      <c r="N18" s="3">
        <f>Tableau7[[#This Row],[Taille (cases)]]+MIN(Tableau7[[#This Row],[Largeur (cases)]:[Longueur (cases)]])</f>
        <v>8</v>
      </c>
      <c r="O18" s="21">
        <f t="shared" si="0"/>
        <v>0.75</v>
      </c>
      <c r="P18">
        <f>Tableau7[[#This Row],[Production horaire]]*O18</f>
        <v>240</v>
      </c>
      <c r="Q18" s="28">
        <f t="shared" si="1"/>
        <v>0.88888888888888884</v>
      </c>
    </row>
  </sheetData>
  <pageMargins left="0.7" right="0.7" top="0.75" bottom="0.75" header="0.3" footer="0.3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9"/>
  <sheetViews>
    <sheetView workbookViewId="0">
      <selection activeCell="B3" sqref="B3"/>
    </sheetView>
  </sheetViews>
  <sheetFormatPr baseColWidth="10" defaultRowHeight="14" x14ac:dyDescent="0"/>
  <cols>
    <col min="1" max="1" width="20" bestFit="1" customWidth="1"/>
    <col min="3" max="3" width="19.6640625" bestFit="1" customWidth="1"/>
    <col min="4" max="4" width="17.33203125" customWidth="1"/>
    <col min="6" max="6" width="14.83203125" bestFit="1" customWidth="1"/>
    <col min="7" max="7" width="10.83203125" customWidth="1"/>
    <col min="8" max="8" width="13.83203125" customWidth="1"/>
    <col min="9" max="9" width="12.83203125" customWidth="1"/>
    <col min="11" max="12" width="12.6640625" bestFit="1" customWidth="1"/>
    <col min="13" max="13" width="14.83203125" bestFit="1" customWidth="1"/>
  </cols>
  <sheetData>
    <row r="2" spans="1:13">
      <c r="A2" s="5" t="s">
        <v>44</v>
      </c>
      <c r="B2" s="5">
        <v>16</v>
      </c>
    </row>
    <row r="4" spans="1:13" ht="35.25" customHeight="1">
      <c r="A4" s="1" t="s">
        <v>0</v>
      </c>
      <c r="B4" s="1" t="s">
        <v>1</v>
      </c>
      <c r="C4" s="1" t="s">
        <v>2</v>
      </c>
      <c r="D4" s="1" t="s">
        <v>45</v>
      </c>
      <c r="E4" s="1" t="s">
        <v>29</v>
      </c>
      <c r="F4" s="1" t="s">
        <v>53</v>
      </c>
      <c r="G4" s="1" t="s">
        <v>57</v>
      </c>
      <c r="H4" s="1" t="s">
        <v>25</v>
      </c>
      <c r="I4" s="1" t="s">
        <v>26</v>
      </c>
      <c r="J4" s="1" t="s">
        <v>28</v>
      </c>
      <c r="K4" s="1" t="s">
        <v>27</v>
      </c>
      <c r="L4" s="1" t="s">
        <v>31</v>
      </c>
      <c r="M4" s="1" t="s">
        <v>54</v>
      </c>
    </row>
    <row r="5" spans="1:13">
      <c r="A5" t="s">
        <v>3</v>
      </c>
      <c r="B5">
        <v>0</v>
      </c>
      <c r="C5" t="s">
        <v>4</v>
      </c>
      <c r="D5" s="19">
        <f>$B$2/('Batiments Marchandises'!F4+MIN('Batiments Marchandises'!D4:E4))</f>
        <v>1.3333333333333333</v>
      </c>
      <c r="E5" s="19">
        <f>MIN('Batiments Marchandises'!D4:E4)*Tableau4[[#This Row],[Nb_bâtiments / Zone]]/2</f>
        <v>2</v>
      </c>
      <c r="F5" s="19">
        <f>VLOOKUP(A5,'bonheur routes'!$A$2:$B$8,2)*E5</f>
        <v>0</v>
      </c>
      <c r="G5" s="19"/>
      <c r="H5" s="19">
        <f>D5*'Batiments Marchandises'!G4</f>
        <v>45.333333333333329</v>
      </c>
      <c r="I5" s="19">
        <f>'Batiments Marchandises'!H4*ajustement!D5</f>
        <v>37.333333333333329</v>
      </c>
      <c r="J5" s="19">
        <f>D5*'Batiments Marchandises'!L4</f>
        <v>13.333333333333332</v>
      </c>
      <c r="K5" s="21">
        <f>ajustement!$D5*'Batiments Marchandises'!I4</f>
        <v>128</v>
      </c>
      <c r="L5" s="21">
        <f>ajustement!$D5*'Batiments Marchandises'!J4</f>
        <v>0</v>
      </c>
      <c r="M5" s="21">
        <f>ajustement!$D5*'Batiments Marchandises'!K4</f>
        <v>128</v>
      </c>
    </row>
    <row r="6" spans="1:13">
      <c r="A6" t="s">
        <v>5</v>
      </c>
      <c r="B6">
        <v>1</v>
      </c>
      <c r="C6" t="s">
        <v>6</v>
      </c>
      <c r="D6" s="19">
        <f>$B$2/('Batiments Marchandises'!F5+MIN('Batiments Marchandises'!D5:E5))</f>
        <v>1.0666666666666667</v>
      </c>
      <c r="E6" s="19">
        <f>MIN('Batiments Marchandises'!D5:E5)*Tableau4[[#This Row],[Nb_bâtiments / Zone]]/2</f>
        <v>1.6</v>
      </c>
      <c r="F6" s="19">
        <f>VLOOKUP(A6,'bonheur routes'!$A$2:$B$8,2)*E6</f>
        <v>8</v>
      </c>
      <c r="G6" s="19"/>
      <c r="H6" s="19">
        <f>D6*'Batiments Marchandises'!G5</f>
        <v>53.333333333333336</v>
      </c>
      <c r="I6" s="19">
        <f>'Batiments Marchandises'!H5*ajustement!D6</f>
        <v>43.733333333333334</v>
      </c>
      <c r="J6" s="19">
        <f>D6*'Batiments Marchandises'!L5</f>
        <v>17.066666666666666</v>
      </c>
      <c r="K6" s="21">
        <f>ajustement!$D6*'Batiments Marchandises'!I5</f>
        <v>256</v>
      </c>
      <c r="L6" s="21">
        <f>ajustement!$D6*'Batiments Marchandises'!J5</f>
        <v>32</v>
      </c>
      <c r="M6" s="21">
        <f>ajustement!$D6*'Batiments Marchandises'!K5</f>
        <v>288</v>
      </c>
    </row>
    <row r="7" spans="1:13">
      <c r="A7" t="s">
        <v>5</v>
      </c>
      <c r="B7">
        <v>2</v>
      </c>
      <c r="C7" t="s">
        <v>7</v>
      </c>
      <c r="D7" s="19">
        <f>$B$2/('Batiments Marchandises'!F6+MIN('Batiments Marchandises'!D6:E6))</f>
        <v>0.66666666666666663</v>
      </c>
      <c r="E7" s="19">
        <f>MIN('Batiments Marchandises'!D6:E6)*Tableau4[[#This Row],[Nb_bâtiments / Zone]]/2</f>
        <v>1.3333333333333333</v>
      </c>
      <c r="F7" s="19">
        <f>VLOOKUP(A7,'bonheur routes'!$A$2:$B$8,2)*E7</f>
        <v>6.6666666666666661</v>
      </c>
      <c r="G7" s="19"/>
      <c r="H7" s="19">
        <f>D7*'Batiments Marchandises'!G6</f>
        <v>86.666666666666657</v>
      </c>
      <c r="I7" s="19">
        <f>'Batiments Marchandises'!H6*ajustement!D7</f>
        <v>33.333333333333329</v>
      </c>
      <c r="J7" s="19">
        <f>D7*'Batiments Marchandises'!L6</f>
        <v>28.666666666666664</v>
      </c>
      <c r="K7" s="21">
        <f>ajustement!$D7*'Batiments Marchandises'!I6</f>
        <v>1166.6666666666665</v>
      </c>
      <c r="L7" s="21">
        <f>ajustement!$D7*'Batiments Marchandises'!J6</f>
        <v>86.666666666666657</v>
      </c>
      <c r="M7" s="21">
        <f>ajustement!$D7*'Batiments Marchandises'!K6</f>
        <v>1253.3333333333333</v>
      </c>
    </row>
    <row r="8" spans="1:13">
      <c r="A8" t="s">
        <v>5</v>
      </c>
      <c r="B8">
        <v>3</v>
      </c>
      <c r="C8" t="s">
        <v>8</v>
      </c>
      <c r="D8" s="19">
        <f>$B$2/('Batiments Marchandises'!F7+MIN('Batiments Marchandises'!D7:E7))</f>
        <v>2.6666666666666665</v>
      </c>
      <c r="E8" s="19">
        <f>MIN('Batiments Marchandises'!D7:E7)*Tableau4[[#This Row],[Nb_bâtiments / Zone]]/2</f>
        <v>2.6666666666666665</v>
      </c>
      <c r="F8" s="19">
        <f>VLOOKUP(A8,'bonheur routes'!$A$2:$B$8,2)*E8</f>
        <v>13.333333333333332</v>
      </c>
      <c r="G8" s="19"/>
      <c r="H8" s="19">
        <f>D8*'Batiments Marchandises'!G7</f>
        <v>85.333333333333329</v>
      </c>
      <c r="I8" s="19">
        <f>'Batiments Marchandises'!H7*ajustement!D8</f>
        <v>32</v>
      </c>
      <c r="J8" s="19">
        <f>D8*'Batiments Marchandises'!L7</f>
        <v>58.666666666666664</v>
      </c>
      <c r="K8" s="21">
        <f>ajustement!$D8*'Batiments Marchandises'!I7</f>
        <v>1146.6666666666665</v>
      </c>
      <c r="L8" s="21">
        <f>ajustement!$D8*'Batiments Marchandises'!J7</f>
        <v>106.66666666666666</v>
      </c>
      <c r="M8" s="21">
        <f>ajustement!$D8*'Batiments Marchandises'!K7</f>
        <v>1253.3333333333333</v>
      </c>
    </row>
    <row r="9" spans="1:13">
      <c r="A9" t="s">
        <v>9</v>
      </c>
      <c r="B9">
        <v>4</v>
      </c>
      <c r="C9" t="s">
        <v>10</v>
      </c>
      <c r="D9" s="19">
        <f>$B$2/('Batiments Marchandises'!F8+MIN('Batiments Marchandises'!D8:E8))</f>
        <v>0.66666666666666663</v>
      </c>
      <c r="E9" s="19">
        <f>MIN('Batiments Marchandises'!D8:E8)*Tableau4[[#This Row],[Nb_bâtiments / Zone]]/2</f>
        <v>1.3333333333333333</v>
      </c>
      <c r="F9" s="19">
        <f>VLOOKUP(A9,'bonheur routes'!$A$2:$B$8,2)*E9</f>
        <v>13.333333333333332</v>
      </c>
      <c r="G9" s="19"/>
      <c r="H9" s="19">
        <f>D9*'Batiments Marchandises'!G8</f>
        <v>146.66666666666666</v>
      </c>
      <c r="I9" s="19">
        <f>'Batiments Marchandises'!H8*ajustement!D9</f>
        <v>81.333333333333329</v>
      </c>
      <c r="J9" s="19">
        <f>D9*'Batiments Marchandises'!L8</f>
        <v>49.333333333333329</v>
      </c>
      <c r="K9" s="21">
        <f>ajustement!$D9*'Batiments Marchandises'!I8</f>
        <v>3200</v>
      </c>
      <c r="L9" s="21">
        <f>ajustement!$D9*'Batiments Marchandises'!J8</f>
        <v>453.33333333333331</v>
      </c>
      <c r="M9" s="21">
        <f>ajustement!$D9*'Batiments Marchandises'!K8</f>
        <v>3653.333333333333</v>
      </c>
    </row>
    <row r="10" spans="1:13">
      <c r="A10" t="s">
        <v>9</v>
      </c>
      <c r="B10">
        <v>5</v>
      </c>
      <c r="C10" t="s">
        <v>11</v>
      </c>
      <c r="D10" s="19">
        <f>$B$2/('Batiments Marchandises'!F9+MIN('Batiments Marchandises'!D9:E9))</f>
        <v>1.0666666666666667</v>
      </c>
      <c r="E10" s="19">
        <f>MIN('Batiments Marchandises'!D9:E9)*Tableau4[[#This Row],[Nb_bâtiments / Zone]]/2</f>
        <v>1.6</v>
      </c>
      <c r="F10" s="19">
        <f>VLOOKUP(A10,'bonheur routes'!$A$2:$B$8,2)*E10</f>
        <v>16</v>
      </c>
      <c r="G10" s="19"/>
      <c r="H10" s="19">
        <f>D10*'Batiments Marchandises'!G9</f>
        <v>170.66666666666666</v>
      </c>
      <c r="I10" s="19">
        <f>'Batiments Marchandises'!H9*ajustement!D10</f>
        <v>70.400000000000006</v>
      </c>
      <c r="J10" s="19">
        <f>D10*'Batiments Marchandises'!L9</f>
        <v>71.466666666666669</v>
      </c>
      <c r="K10" s="21">
        <f>ajustement!$D10*'Batiments Marchandises'!I9</f>
        <v>4373.333333333333</v>
      </c>
      <c r="L10" s="21">
        <f>ajustement!$D10*'Batiments Marchandises'!J9</f>
        <v>437.33333333333331</v>
      </c>
      <c r="M10" s="21">
        <f>ajustement!$D10*'Batiments Marchandises'!K9</f>
        <v>4810.666666666667</v>
      </c>
    </row>
    <row r="11" spans="1:13">
      <c r="A11" t="s">
        <v>12</v>
      </c>
      <c r="B11">
        <v>6</v>
      </c>
      <c r="C11" t="s">
        <v>13</v>
      </c>
      <c r="D11" s="19">
        <f>$B$2/('Batiments Marchandises'!F10+MIN('Batiments Marchandises'!D10:E10))</f>
        <v>1.3333333333333333</v>
      </c>
      <c r="E11" s="19">
        <f>MIN('Batiments Marchandises'!D10:E10)*Tableau4[[#This Row],[Nb_bâtiments / Zone]]/2</f>
        <v>2</v>
      </c>
      <c r="F11" s="19">
        <f>VLOOKUP(A11,'bonheur routes'!$A$2:$B$8,2)*E11</f>
        <v>30</v>
      </c>
      <c r="G11" s="19"/>
      <c r="H11" s="19">
        <f>D11*'Batiments Marchandises'!G10</f>
        <v>213.33333333333331</v>
      </c>
      <c r="I11" s="19">
        <f>'Batiments Marchandises'!H10*ajustement!D11</f>
        <v>72</v>
      </c>
      <c r="J11" s="19">
        <f>D11*'Batiments Marchandises'!L10</f>
        <v>130.66666666666666</v>
      </c>
      <c r="K11" s="21">
        <f>ajustement!$D11*'Batiments Marchandises'!I10</f>
        <v>10400</v>
      </c>
      <c r="L11" s="21">
        <f>ajustement!$D11*'Batiments Marchandises'!J10</f>
        <v>2400</v>
      </c>
      <c r="M11" s="21">
        <f>ajustement!$D11*'Batiments Marchandises'!K10</f>
        <v>12800</v>
      </c>
    </row>
    <row r="12" spans="1:13">
      <c r="A12" t="s">
        <v>12</v>
      </c>
      <c r="B12">
        <v>7</v>
      </c>
      <c r="C12" t="s">
        <v>14</v>
      </c>
      <c r="D12" s="19">
        <f>$B$2/('Batiments Marchandises'!F11+MIN('Batiments Marchandises'!D11:E11))</f>
        <v>1.3333333333333333</v>
      </c>
      <c r="E12" s="19">
        <f>MIN('Batiments Marchandises'!D11:E11)*Tableau4[[#This Row],[Nb_bâtiments / Zone]]/2</f>
        <v>2</v>
      </c>
      <c r="F12" s="19">
        <f>VLOOKUP(A12,'bonheur routes'!$A$2:$B$8,2)*E12</f>
        <v>30</v>
      </c>
      <c r="G12" s="19"/>
      <c r="H12" s="19">
        <f>D12*'Batiments Marchandises'!G11</f>
        <v>280</v>
      </c>
      <c r="I12" s="19">
        <f>'Batiments Marchandises'!H11*ajustement!D12</f>
        <v>102.66666666666666</v>
      </c>
      <c r="J12" s="19">
        <f>D12*'Batiments Marchandises'!L11</f>
        <v>156</v>
      </c>
      <c r="K12" s="21">
        <f>ajustement!$D12*'Batiments Marchandises'!I11</f>
        <v>16133.333333333332</v>
      </c>
      <c r="L12" s="21">
        <f>ajustement!$D12*'Batiments Marchandises'!J11</f>
        <v>2000</v>
      </c>
      <c r="M12" s="21">
        <f>ajustement!$D12*'Batiments Marchandises'!K11</f>
        <v>18133.333333333332</v>
      </c>
    </row>
    <row r="13" spans="1:13">
      <c r="A13" t="s">
        <v>15</v>
      </c>
      <c r="B13">
        <v>8</v>
      </c>
      <c r="C13" t="s">
        <v>16</v>
      </c>
      <c r="D13" s="19">
        <f>$B$2/('Batiments Marchandises'!F12+MIN('Batiments Marchandises'!D12:E12))</f>
        <v>2</v>
      </c>
      <c r="E13" s="19">
        <f>MIN('Batiments Marchandises'!D12:E12)*Tableau4[[#This Row],[Nb_bâtiments / Zone]]/2</f>
        <v>2</v>
      </c>
      <c r="F13" s="19">
        <f>VLOOKUP(A13,'bonheur routes'!$A$2:$B$8,2)*E13</f>
        <v>40</v>
      </c>
      <c r="G13" s="19"/>
      <c r="H13" s="19">
        <f>D13*'Batiments Marchandises'!G12</f>
        <v>360</v>
      </c>
      <c r="I13" s="19">
        <f>'Batiments Marchandises'!H12*ajustement!D13</f>
        <v>80</v>
      </c>
      <c r="J13" s="19">
        <f>D13*'Batiments Marchandises'!L12</f>
        <v>270</v>
      </c>
      <c r="K13" s="21">
        <f>ajustement!$D13*'Batiments Marchandises'!I12</f>
        <v>30000</v>
      </c>
      <c r="L13" s="21">
        <f>ajustement!$D13*'Batiments Marchandises'!J12</f>
        <v>6200</v>
      </c>
      <c r="M13" s="21">
        <f>ajustement!$D13*'Batiments Marchandises'!K12</f>
        <v>36200</v>
      </c>
    </row>
    <row r="14" spans="1:13">
      <c r="A14" t="s">
        <v>15</v>
      </c>
      <c r="B14">
        <v>9</v>
      </c>
      <c r="C14" t="s">
        <v>17</v>
      </c>
      <c r="D14" s="19">
        <f>$B$2/('Batiments Marchandises'!F13+MIN('Batiments Marchandises'!D13:E13))</f>
        <v>0.66666666666666663</v>
      </c>
      <c r="E14" s="19">
        <f>MIN('Batiments Marchandises'!D13:E13)*Tableau4[[#This Row],[Nb_bâtiments / Zone]]/2</f>
        <v>1.3333333333333333</v>
      </c>
      <c r="F14" s="19">
        <f>VLOOKUP(A14,'bonheur routes'!$A$2:$B$8,2)*E14</f>
        <v>26.666666666666664</v>
      </c>
      <c r="G14" s="19"/>
      <c r="H14" s="19">
        <f>D14*'Batiments Marchandises'!G13</f>
        <v>486.66666666666663</v>
      </c>
      <c r="I14" s="19">
        <f>'Batiments Marchandises'!H13*ajustement!D14</f>
        <v>179.33333333333331</v>
      </c>
      <c r="J14" s="19">
        <f>D14*'Batiments Marchandises'!L13</f>
        <v>176</v>
      </c>
      <c r="K14" s="21">
        <f>ajustement!$D14*'Batiments Marchandises'!I13</f>
        <v>42666.666666666664</v>
      </c>
      <c r="L14" s="21">
        <f>ajustement!$D14*'Batiments Marchandises'!J13</f>
        <v>373.33333333333331</v>
      </c>
      <c r="M14" s="21">
        <f>ajustement!$D14*'Batiments Marchandises'!K13</f>
        <v>43040</v>
      </c>
    </row>
    <row r="15" spans="1:13">
      <c r="A15" t="s">
        <v>18</v>
      </c>
      <c r="B15">
        <v>10</v>
      </c>
      <c r="C15" t="s">
        <v>19</v>
      </c>
      <c r="D15" s="19">
        <f>$B$2/('Batiments Marchandises'!F14+MIN('Batiments Marchandises'!D14:E14))</f>
        <v>1.0666666666666667</v>
      </c>
      <c r="E15" s="19">
        <f>MIN('Batiments Marchandises'!D14:E14)*Tableau4[[#This Row],[Nb_bâtiments / Zone]]/2</f>
        <v>1.6</v>
      </c>
      <c r="F15" s="19">
        <f>VLOOKUP(A15,'bonheur routes'!$A$2:$B$8,2)*E15</f>
        <v>32</v>
      </c>
      <c r="G15" s="19"/>
      <c r="H15" s="19">
        <f>D15*'Batiments Marchandises'!G14</f>
        <v>522.66666666666663</v>
      </c>
      <c r="I15" s="19">
        <f>'Batiments Marchandises'!H14*ajustement!D15</f>
        <v>174.93333333333334</v>
      </c>
      <c r="J15" s="19">
        <f>D15*'Batiments Marchandises'!L14</f>
        <v>285.86666666666667</v>
      </c>
      <c r="K15" s="21">
        <f>ajustement!$D15*'Batiments Marchandises'!I14</f>
        <v>65066.666666666664</v>
      </c>
      <c r="L15" s="21">
        <f>ajustement!$D15*'Batiments Marchandises'!J14</f>
        <v>11520</v>
      </c>
      <c r="M15" s="21">
        <f>ajustement!$D15*'Batiments Marchandises'!K14</f>
        <v>76586.666666666672</v>
      </c>
    </row>
    <row r="16" spans="1:13">
      <c r="A16" t="s">
        <v>18</v>
      </c>
      <c r="B16">
        <v>11</v>
      </c>
      <c r="C16" t="s">
        <v>20</v>
      </c>
      <c r="D16" s="19">
        <f>$B$2/('Batiments Marchandises'!F15+MIN('Batiments Marchandises'!D15:E15))</f>
        <v>1.3333333333333333</v>
      </c>
      <c r="E16" s="19">
        <f>MIN('Batiments Marchandises'!D15:E15)*Tableau4[[#This Row],[Nb_bâtiments / Zone]]/2</f>
        <v>2</v>
      </c>
      <c r="F16" s="19">
        <f>VLOOKUP(A16,'bonheur routes'!$A$2:$B$8,2)*E16</f>
        <v>40</v>
      </c>
      <c r="G16" s="19"/>
      <c r="H16" s="19">
        <f>D16*'Batiments Marchandises'!G15</f>
        <v>533.33333333333326</v>
      </c>
      <c r="I16" s="19">
        <f>'Batiments Marchandises'!H15*ajustement!D16</f>
        <v>181.33333333333331</v>
      </c>
      <c r="J16" s="19">
        <f>D16*'Batiments Marchandises'!L15</f>
        <v>341.33333333333331</v>
      </c>
      <c r="K16" s="21">
        <f>ajustement!$D16*'Batiments Marchandises'!I15</f>
        <v>74666.666666666657</v>
      </c>
      <c r="L16" s="21">
        <f>ajustement!$D16*'Batiments Marchandises'!J15</f>
        <v>12666.666666666666</v>
      </c>
      <c r="M16" s="21">
        <f>ajustement!$D16*'Batiments Marchandises'!K15</f>
        <v>87333.333333333328</v>
      </c>
    </row>
    <row r="17" spans="1:13">
      <c r="A17" t="s">
        <v>21</v>
      </c>
      <c r="B17">
        <v>12</v>
      </c>
      <c r="C17" t="s">
        <v>22</v>
      </c>
      <c r="D17" s="19">
        <f>$B$2/('Batiments Marchandises'!F16+MIN('Batiments Marchandises'!D16:E16))</f>
        <v>1.3333333333333333</v>
      </c>
      <c r="E17" s="19">
        <f>MIN('Batiments Marchandises'!D16:E16)*Tableau4[[#This Row],[Nb_bâtiments / Zone]]/2</f>
        <v>2</v>
      </c>
      <c r="F17" s="19">
        <f>VLOOKUP(A17,'bonheur routes'!$A$2:$B$8,2)*E17</f>
        <v>50</v>
      </c>
      <c r="G17" s="19"/>
      <c r="H17" s="19">
        <f>D17*'Batiments Marchandises'!G16</f>
        <v>626.66666666666663</v>
      </c>
      <c r="I17" s="19">
        <f>'Batiments Marchandises'!H16*ajustement!D17</f>
        <v>196</v>
      </c>
      <c r="J17" s="19">
        <f>D17*'Batiments Marchandises'!L16</f>
        <v>344</v>
      </c>
      <c r="K17" s="21">
        <f>ajustement!$D17*'Batiments Marchandises'!I16</f>
        <v>78666.666666666657</v>
      </c>
      <c r="L17" s="21">
        <f>ajustement!$D17*'Batiments Marchandises'!J16</f>
        <v>10266.666666666666</v>
      </c>
      <c r="M17" s="21">
        <f>ajustement!$D17*'Batiments Marchandises'!K16</f>
        <v>88933.333333333328</v>
      </c>
    </row>
    <row r="18" spans="1:13">
      <c r="A18" t="s">
        <v>21</v>
      </c>
      <c r="B18">
        <v>13</v>
      </c>
      <c r="C18" t="s">
        <v>23</v>
      </c>
      <c r="D18" s="19">
        <f>$B$2/('Batiments Marchandises'!F17+MIN('Batiments Marchandises'!D17:E17))</f>
        <v>0.8</v>
      </c>
      <c r="E18" s="19">
        <f>MIN('Batiments Marchandises'!D17:E17)*Tableau4[[#This Row],[Nb_bâtiments / Zone]]/2</f>
        <v>1.6</v>
      </c>
      <c r="F18" s="19">
        <f>VLOOKUP(A18,'bonheur routes'!$A$2:$B$8,2)*E18</f>
        <v>40</v>
      </c>
      <c r="G18" s="19"/>
      <c r="H18" s="19">
        <f>D18*'Batiments Marchandises'!G17</f>
        <v>720</v>
      </c>
      <c r="I18" s="19">
        <f>'Batiments Marchandises'!H17*ajustement!D18</f>
        <v>292</v>
      </c>
      <c r="J18" s="19">
        <f>D18*'Batiments Marchandises'!L17</f>
        <v>248</v>
      </c>
      <c r="K18" s="21">
        <f>ajustement!$D18*'Batiments Marchandises'!I17</f>
        <v>64800</v>
      </c>
      <c r="L18" s="21">
        <f>ajustement!$D18*'Batiments Marchandises'!J17</f>
        <v>12560</v>
      </c>
      <c r="M18" s="21">
        <f>ajustement!$D18*'Batiments Marchandises'!K17</f>
        <v>77360</v>
      </c>
    </row>
    <row r="19" spans="1:13">
      <c r="A19" t="s">
        <v>21</v>
      </c>
      <c r="B19">
        <v>14</v>
      </c>
      <c r="C19" t="s">
        <v>24</v>
      </c>
      <c r="D19" s="19">
        <f>$B$2/('Batiments Marchandises'!F18+MIN('Batiments Marchandises'!D18:E18))</f>
        <v>2</v>
      </c>
      <c r="E19" s="19">
        <f>MIN('Batiments Marchandises'!D18:E18)*Tableau4[[#This Row],[Nb_bâtiments / Zone]]/2</f>
        <v>2</v>
      </c>
      <c r="F19" s="19">
        <f>VLOOKUP(A19,'bonheur routes'!$A$2:$B$8,2)*E19</f>
        <v>50</v>
      </c>
      <c r="G19" s="19"/>
      <c r="H19" s="19">
        <f>D19*'Batiments Marchandises'!G18</f>
        <v>640</v>
      </c>
      <c r="I19" s="19">
        <f>'Batiments Marchandises'!H18*ajustement!D19</f>
        <v>136</v>
      </c>
      <c r="J19" s="19">
        <f>D19*'Batiments Marchandises'!L18</f>
        <v>448</v>
      </c>
      <c r="K19" s="21">
        <f>ajustement!$D19*'Batiments Marchandises'!I18</f>
        <v>86000</v>
      </c>
      <c r="L19" s="21">
        <f>ajustement!$D19*'Batiments Marchandises'!J18</f>
        <v>14800</v>
      </c>
      <c r="M19" s="21">
        <f>ajustement!$D19*'Batiments Marchandises'!K18</f>
        <v>100800</v>
      </c>
    </row>
  </sheetData>
  <sortState ref="A21:B27">
    <sortCondition ref="A21"/>
  </sortState>
  <pageMargins left="0.7" right="0.7" top="0.75" bottom="0.75" header="0.3" footer="0.3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topLeftCell="A7" workbookViewId="0">
      <selection activeCell="H12" sqref="H12"/>
    </sheetView>
  </sheetViews>
  <sheetFormatPr baseColWidth="10" defaultRowHeight="14" x14ac:dyDescent="0"/>
  <cols>
    <col min="1" max="1" width="13.83203125" customWidth="1"/>
    <col min="2" max="2" width="10.33203125" bestFit="1" customWidth="1"/>
    <col min="3" max="3" width="19.6640625" bestFit="1" customWidth="1"/>
    <col min="4" max="4" width="11.1640625" bestFit="1" customWidth="1"/>
    <col min="5" max="7" width="10.33203125" customWidth="1"/>
    <col min="8" max="8" width="22.5" customWidth="1"/>
    <col min="9" max="9" width="20.83203125" customWidth="1"/>
    <col min="10" max="10" width="15.33203125" customWidth="1"/>
    <col min="11" max="11" width="11.33203125" bestFit="1" customWidth="1"/>
    <col min="12" max="12" width="13.1640625" bestFit="1" customWidth="1"/>
    <col min="13" max="13" width="11.83203125" bestFit="1" customWidth="1"/>
    <col min="14" max="14" width="15.33203125" customWidth="1"/>
  </cols>
  <sheetData>
    <row r="2" spans="1:13">
      <c r="A2" t="s">
        <v>55</v>
      </c>
      <c r="B2" t="s">
        <v>46</v>
      </c>
    </row>
    <row r="3" spans="1:13">
      <c r="A3" t="s">
        <v>35</v>
      </c>
      <c r="B3">
        <v>5</v>
      </c>
    </row>
    <row r="4" spans="1:13">
      <c r="A4" t="s">
        <v>26</v>
      </c>
      <c r="B4">
        <v>5</v>
      </c>
    </row>
    <row r="5" spans="1:13">
      <c r="A5" t="s">
        <v>28</v>
      </c>
      <c r="B5">
        <v>0.5</v>
      </c>
    </row>
    <row r="6" spans="1:13">
      <c r="A6" t="s">
        <v>30</v>
      </c>
      <c r="B6">
        <v>1</v>
      </c>
    </row>
    <row r="7" spans="1:13">
      <c r="A7" t="s">
        <v>54</v>
      </c>
      <c r="B7">
        <v>0.5</v>
      </c>
    </row>
    <row r="8" spans="1:13" ht="15" thickBot="1">
      <c r="A8" t="s">
        <v>57</v>
      </c>
      <c r="B8">
        <v>2</v>
      </c>
    </row>
    <row r="9" spans="1:13" ht="20" thickTop="1" thickBot="1">
      <c r="E9" s="143" t="s">
        <v>32</v>
      </c>
      <c r="F9" s="143"/>
      <c r="G9" s="143"/>
      <c r="H9" s="144" t="s">
        <v>33</v>
      </c>
      <c r="I9" s="145"/>
      <c r="J9" s="145"/>
      <c r="K9" s="145"/>
      <c r="L9" s="145"/>
      <c r="M9" s="146"/>
    </row>
    <row r="10" spans="1:13" ht="35.25" customHeight="1" thickTop="1">
      <c r="A10" s="1" t="s">
        <v>0</v>
      </c>
      <c r="B10" s="1" t="s">
        <v>1</v>
      </c>
      <c r="C10" s="1" t="s">
        <v>2</v>
      </c>
      <c r="D10" s="1" t="s">
        <v>56</v>
      </c>
      <c r="E10" s="22" t="s">
        <v>36</v>
      </c>
      <c r="F10" s="23" t="s">
        <v>39</v>
      </c>
      <c r="G10" s="24" t="s">
        <v>37</v>
      </c>
      <c r="H10" s="25" t="s">
        <v>42</v>
      </c>
      <c r="I10" s="26" t="s">
        <v>43</v>
      </c>
      <c r="J10" s="26" t="s">
        <v>41</v>
      </c>
      <c r="K10" s="26" t="s">
        <v>40</v>
      </c>
      <c r="L10" s="26" t="s">
        <v>54</v>
      </c>
      <c r="M10" s="27" t="s">
        <v>34</v>
      </c>
    </row>
    <row r="11" spans="1:13">
      <c r="A11" t="s">
        <v>3</v>
      </c>
      <c r="B11">
        <v>0</v>
      </c>
      <c r="C11" t="s">
        <v>4</v>
      </c>
      <c r="D11" s="3">
        <f>ajustement!F5</f>
        <v>0</v>
      </c>
      <c r="E11" s="8">
        <f>ajustement!H5/ajustement!$B$2</f>
        <v>2.833333333333333</v>
      </c>
      <c r="F11" s="7">
        <f>ajustement!H5/ajustement!I5</f>
        <v>1.2142857142857144</v>
      </c>
      <c r="G11" s="9">
        <f>ajustement!J5/ajustement!$B$2</f>
        <v>0.83333333333333326</v>
      </c>
      <c r="H11" s="13">
        <f t="shared" ref="H11:H25" si="0">E11/MAX(E$11:E$25)</f>
        <v>6.2962962962962957E-2</v>
      </c>
      <c r="I11" s="14">
        <f t="shared" ref="I11:I25" si="1">F11/MAX(F$11:F$25)</f>
        <v>0.25803571428571431</v>
      </c>
      <c r="J11" s="14">
        <f t="shared" ref="J11:J25" si="2">G11/MAX(G$11:G$25)</f>
        <v>2.976190476190476E-2</v>
      </c>
      <c r="K11" s="14">
        <f>ajustement!F5/MAX(ajustement!F$5:F$19)</f>
        <v>0</v>
      </c>
      <c r="L11" s="14">
        <f>1-(ajustement!M5/MAX(Tableau4[Coût total]))</f>
        <v>0.99873015873015869</v>
      </c>
      <c r="M11" s="15">
        <f>SUM(H11*$B$3,I11*$B$4,J11*$B$5,Tableau3[[#This Row],[Bonheur ]]*$B$6,Tableau3[[#This Row],[Coût total]]*$B$7)/SUM($B$3:$B$8)</f>
        <v>0.15137424414210129</v>
      </c>
    </row>
    <row r="12" spans="1:13">
      <c r="A12" t="s">
        <v>5</v>
      </c>
      <c r="B12">
        <v>1</v>
      </c>
      <c r="C12" t="s">
        <v>6</v>
      </c>
      <c r="D12" s="3">
        <f>ajustement!F6</f>
        <v>8</v>
      </c>
      <c r="E12" s="8">
        <f>ajustement!H6/ajustement!$B$2</f>
        <v>3.3333333333333335</v>
      </c>
      <c r="F12" s="7">
        <f>ajustement!H6/ajustement!I6</f>
        <v>1.2195121951219512</v>
      </c>
      <c r="G12" s="9">
        <f>ajustement!J6/ajustement!$B$2</f>
        <v>1.0666666666666667</v>
      </c>
      <c r="H12" s="13">
        <f t="shared" si="0"/>
        <v>7.4074074074074084E-2</v>
      </c>
      <c r="I12" s="14">
        <f t="shared" si="1"/>
        <v>0.25914634146341464</v>
      </c>
      <c r="J12" s="14">
        <f t="shared" si="2"/>
        <v>3.8095238095238092E-2</v>
      </c>
      <c r="K12" s="14">
        <f>ajustement!F6/MAX(ajustement!F$5:F$19)</f>
        <v>0.16</v>
      </c>
      <c r="L12" s="14">
        <f>1-(ajustement!M6/MAX(Tableau4[Coût total]))</f>
        <v>0.99714285714285711</v>
      </c>
      <c r="M12" s="15">
        <f>SUM(H12*$B$3,I12*$B$4,J12*$B$5,Tableau3[[#This Row],[Bonheur ]]*$B$6,Tableau3[[#This Row],[Coût total]]*$B$7)/SUM($B$3:$B$8)</f>
        <v>0.16740865180760653</v>
      </c>
    </row>
    <row r="13" spans="1:13">
      <c r="A13" t="s">
        <v>5</v>
      </c>
      <c r="B13">
        <v>2</v>
      </c>
      <c r="C13" t="s">
        <v>7</v>
      </c>
      <c r="D13" s="3">
        <f>ajustement!F7</f>
        <v>6.6666666666666661</v>
      </c>
      <c r="E13" s="8">
        <f>ajustement!H7/ajustement!$B$2</f>
        <v>5.4166666666666661</v>
      </c>
      <c r="F13" s="7">
        <f>ajustement!H7/ajustement!I7</f>
        <v>2.6</v>
      </c>
      <c r="G13" s="9">
        <f>ajustement!J7/ajustement!$B$2</f>
        <v>1.7916666666666665</v>
      </c>
      <c r="H13" s="13">
        <f t="shared" si="0"/>
        <v>0.12037037037037036</v>
      </c>
      <c r="I13" s="14">
        <f t="shared" si="1"/>
        <v>0.55249999999999999</v>
      </c>
      <c r="J13" s="14">
        <f t="shared" si="2"/>
        <v>6.3988095238095233E-2</v>
      </c>
      <c r="K13" s="14">
        <f>ajustement!F7/MAX(ajustement!F$5:F$19)</f>
        <v>0.13333333333333333</v>
      </c>
      <c r="L13" s="14">
        <f>1-(ajustement!M7/MAX(Tableau4[Coût total]))</f>
        <v>0.98756613756613754</v>
      </c>
      <c r="M13" s="15">
        <f>SUM(H13*$B$3,I13*$B$4,J13*$B$5,Tableau3[[#This Row],[Bonheur ]]*$B$6,Tableau3[[#This Row],[Coût total]]*$B$7)/SUM($B$3:$B$8)</f>
        <v>0.28739016439909298</v>
      </c>
    </row>
    <row r="14" spans="1:13">
      <c r="A14" t="s">
        <v>5</v>
      </c>
      <c r="B14">
        <v>3</v>
      </c>
      <c r="C14" t="s">
        <v>8</v>
      </c>
      <c r="D14" s="3">
        <f>ajustement!F8</f>
        <v>13.333333333333332</v>
      </c>
      <c r="E14" s="8">
        <f>ajustement!H8/ajustement!$B$2</f>
        <v>5.333333333333333</v>
      </c>
      <c r="F14" s="7">
        <f>ajustement!H8/ajustement!I8</f>
        <v>2.6666666666666665</v>
      </c>
      <c r="G14" s="9">
        <f>ajustement!J8/ajustement!$B$2</f>
        <v>3.6666666666666665</v>
      </c>
      <c r="H14" s="13">
        <f t="shared" si="0"/>
        <v>0.11851851851851851</v>
      </c>
      <c r="I14" s="14">
        <f t="shared" si="1"/>
        <v>0.56666666666666665</v>
      </c>
      <c r="J14" s="14">
        <f t="shared" si="2"/>
        <v>0.13095238095238096</v>
      </c>
      <c r="K14" s="14">
        <f>ajustement!F8/MAX(ajustement!F$5:F$19)</f>
        <v>0.26666666666666666</v>
      </c>
      <c r="L14" s="14">
        <f>1-(ajustement!M8/MAX(Tableau4[Coût total]))</f>
        <v>0.98756613756613754</v>
      </c>
      <c r="M14" s="15">
        <f>SUM(H14*$B$3,I14*$B$4,J14*$B$5,Tableau3[[#This Row],[Bonheur ]]*$B$6,Tableau3[[#This Row],[Coût total]]*$B$7)/SUM($B$3:$B$8)</f>
        <v>0.3037037037037037</v>
      </c>
    </row>
    <row r="15" spans="1:13">
      <c r="A15" t="s">
        <v>9</v>
      </c>
      <c r="B15">
        <v>4</v>
      </c>
      <c r="C15" t="s">
        <v>10</v>
      </c>
      <c r="D15" s="3">
        <f>ajustement!F9</f>
        <v>13.333333333333332</v>
      </c>
      <c r="E15" s="8">
        <f>ajustement!H9/ajustement!$B$2</f>
        <v>9.1666666666666661</v>
      </c>
      <c r="F15" s="7">
        <f>ajustement!H9/ajustement!I9</f>
        <v>1.8032786885245902</v>
      </c>
      <c r="G15" s="9">
        <f>ajustement!J9/ajustement!$B$2</f>
        <v>3.083333333333333</v>
      </c>
      <c r="H15" s="13">
        <f t="shared" si="0"/>
        <v>0.20370370370370369</v>
      </c>
      <c r="I15" s="14">
        <f t="shared" si="1"/>
        <v>0.38319672131147542</v>
      </c>
      <c r="J15" s="14">
        <f t="shared" si="2"/>
        <v>0.1101190476190476</v>
      </c>
      <c r="K15" s="14">
        <f>ajustement!F9/MAX(ajustement!F$5:F$19)</f>
        <v>0.26666666666666666</v>
      </c>
      <c r="L15" s="14">
        <f>1-(ajustement!M9/MAX(Tableau4[Coût total]))</f>
        <v>0.96375661375661381</v>
      </c>
      <c r="M15" s="15">
        <f>SUM(H15*$B$3,I15*$B$4,J15*$B$5,Tableau3[[#This Row],[Bonheur ]]*$B$6,Tableau3[[#This Row],[Coût total]]*$B$7)/SUM($B$3:$B$8)</f>
        <v>0.26700761588788519</v>
      </c>
    </row>
    <row r="16" spans="1:13">
      <c r="A16" t="s">
        <v>9</v>
      </c>
      <c r="B16">
        <v>5</v>
      </c>
      <c r="C16" t="s">
        <v>38</v>
      </c>
      <c r="D16" s="3">
        <f>ajustement!F10</f>
        <v>16</v>
      </c>
      <c r="E16" s="8">
        <f>ajustement!H10/ajustement!$B$2</f>
        <v>10.666666666666666</v>
      </c>
      <c r="F16" s="7">
        <f>ajustement!H10/ajustement!I10</f>
        <v>2.4242424242424239</v>
      </c>
      <c r="G16" s="9">
        <f>ajustement!J10/ajustement!$B$2</f>
        <v>4.4666666666666668</v>
      </c>
      <c r="H16" s="13">
        <f t="shared" si="0"/>
        <v>0.23703703703703702</v>
      </c>
      <c r="I16" s="14">
        <f t="shared" si="1"/>
        <v>0.51515151515151503</v>
      </c>
      <c r="J16" s="14">
        <f t="shared" si="2"/>
        <v>0.15952380952380954</v>
      </c>
      <c r="K16" s="14">
        <f>ajustement!F10/MAX(ajustement!F$5:F$19)</f>
        <v>0.32</v>
      </c>
      <c r="L16" s="14">
        <f>1-(ajustement!M10/MAX(Tableau4[Coût total]))</f>
        <v>0.95227513227513227</v>
      </c>
      <c r="M16" s="15">
        <f>SUM(H16*$B$3,I16*$B$4,J16*$B$5,Tableau3[[#This Row],[Bonheur ]]*$B$6,Tableau3[[#This Row],[Coût total]]*$B$7)/SUM($B$3:$B$8)</f>
        <v>0.33120301656015938</v>
      </c>
    </row>
    <row r="17" spans="1:14">
      <c r="A17" t="s">
        <v>47</v>
      </c>
      <c r="B17">
        <v>6</v>
      </c>
      <c r="C17" t="s">
        <v>13</v>
      </c>
      <c r="D17" s="3">
        <f>ajustement!F11</f>
        <v>30</v>
      </c>
      <c r="E17" s="8">
        <f>ajustement!H11/ajustement!$B$2</f>
        <v>13.333333333333332</v>
      </c>
      <c r="F17" s="7">
        <f>ajustement!H11/ajustement!I11</f>
        <v>2.9629629629629628</v>
      </c>
      <c r="G17" s="9">
        <f>ajustement!J11/ajustement!$B$2</f>
        <v>8.1666666666666661</v>
      </c>
      <c r="H17" s="13">
        <f t="shared" si="0"/>
        <v>0.29629629629629628</v>
      </c>
      <c r="I17" s="14">
        <f t="shared" si="1"/>
        <v>0.62962962962962954</v>
      </c>
      <c r="J17" s="14">
        <f t="shared" si="2"/>
        <v>0.29166666666666663</v>
      </c>
      <c r="K17" s="14">
        <f>ajustement!F11/MAX(ajustement!F$5:F$19)</f>
        <v>0.6</v>
      </c>
      <c r="L17" s="14">
        <f>1-(ajustement!M11/MAX(Tableau4[Coût total]))</f>
        <v>0.87301587301587302</v>
      </c>
      <c r="M17" s="15">
        <f>SUM(H17*$B$3,I17*$B$4,J17*$B$5,Tableau3[[#This Row],[Bonheur ]]*$B$6,Tableau3[[#This Row],[Coût total]]*$B$7)/SUM($B$3:$B$8)</f>
        <v>0.41514077853363568</v>
      </c>
    </row>
    <row r="18" spans="1:14">
      <c r="A18" t="s">
        <v>47</v>
      </c>
      <c r="B18">
        <v>7</v>
      </c>
      <c r="C18" t="s">
        <v>14</v>
      </c>
      <c r="D18" s="3">
        <f>ajustement!F12</f>
        <v>30</v>
      </c>
      <c r="E18" s="8">
        <f>ajustement!H12/ajustement!$B$2</f>
        <v>17.5</v>
      </c>
      <c r="F18" s="7">
        <f>ajustement!H12/ajustement!I12</f>
        <v>2.7272727272727275</v>
      </c>
      <c r="G18" s="9">
        <f>ajustement!J12/ajustement!$B$2</f>
        <v>9.75</v>
      </c>
      <c r="H18" s="13">
        <f t="shared" si="0"/>
        <v>0.3888888888888889</v>
      </c>
      <c r="I18" s="14">
        <f t="shared" si="1"/>
        <v>0.57954545454545459</v>
      </c>
      <c r="J18" s="14">
        <f t="shared" si="2"/>
        <v>0.3482142857142857</v>
      </c>
      <c r="K18" s="14">
        <f>ajustement!F12/MAX(ajustement!F$5:F$19)</f>
        <v>0.6</v>
      </c>
      <c r="L18" s="14">
        <f>1-(ajustement!M12/MAX(Tableau4[Coût total]))</f>
        <v>0.82010582010582012</v>
      </c>
      <c r="M18" s="15">
        <f>SUM(H18*$B$3,I18*$B$4,J18*$B$5,Tableau3[[#This Row],[Bonheur ]]*$B$6,Tableau3[[#This Row],[Coût total]]*$B$7)/SUM($B$3:$B$8)</f>
        <v>0.430452269291555</v>
      </c>
    </row>
    <row r="19" spans="1:14">
      <c r="A19" t="s">
        <v>48</v>
      </c>
      <c r="B19">
        <v>8</v>
      </c>
      <c r="C19" t="s">
        <v>16</v>
      </c>
      <c r="D19" s="3">
        <f>ajustement!F13</f>
        <v>40</v>
      </c>
      <c r="E19" s="8">
        <f>ajustement!H13/ajustement!$B$2</f>
        <v>22.5</v>
      </c>
      <c r="F19" s="7">
        <f>ajustement!H13/ajustement!I13</f>
        <v>4.5</v>
      </c>
      <c r="G19" s="9">
        <f>ajustement!J13/ajustement!$B$2</f>
        <v>16.875</v>
      </c>
      <c r="H19" s="13">
        <f t="shared" si="0"/>
        <v>0.5</v>
      </c>
      <c r="I19" s="14">
        <f t="shared" si="1"/>
        <v>0.95624999999999993</v>
      </c>
      <c r="J19" s="14">
        <f t="shared" si="2"/>
        <v>0.6026785714285714</v>
      </c>
      <c r="K19" s="14">
        <f>ajustement!F13/MAX(ajustement!F$5:F$19)</f>
        <v>0.8</v>
      </c>
      <c r="L19" s="14">
        <f>1-(ajustement!M13/MAX(Tableau4[Coût total]))</f>
        <v>0.64087301587301582</v>
      </c>
      <c r="M19" s="15">
        <f>SUM(H19*$B$3,I19*$B$4,J19*$B$5,Tableau3[[#This Row],[Bonheur ]]*$B$6,Tableau3[[#This Row],[Coût total]]*$B$7)/SUM($B$3:$B$8)</f>
        <v>0.62164469954648527</v>
      </c>
    </row>
    <row r="20" spans="1:14">
      <c r="A20" t="s">
        <v>48</v>
      </c>
      <c r="B20">
        <v>9</v>
      </c>
      <c r="C20" t="s">
        <v>17</v>
      </c>
      <c r="D20" s="3">
        <f>ajustement!F14</f>
        <v>26.666666666666664</v>
      </c>
      <c r="E20" s="8">
        <f>ajustement!H14/ajustement!$B$2</f>
        <v>30.416666666666664</v>
      </c>
      <c r="F20" s="7">
        <f>ajustement!H14/ajustement!I14</f>
        <v>2.7137546468401488</v>
      </c>
      <c r="G20" s="9">
        <f>ajustement!J14/ajustement!$B$2</f>
        <v>11</v>
      </c>
      <c r="H20" s="13">
        <f t="shared" si="0"/>
        <v>0.67592592592592582</v>
      </c>
      <c r="I20" s="14">
        <f t="shared" si="1"/>
        <v>0.57667286245353155</v>
      </c>
      <c r="J20" s="14">
        <f t="shared" si="2"/>
        <v>0.39285714285714285</v>
      </c>
      <c r="K20" s="14">
        <f>ajustement!F14/MAX(ajustement!F$5:F$19)</f>
        <v>0.53333333333333333</v>
      </c>
      <c r="L20" s="14">
        <f>1-(ajustement!M14/MAX(Tableau4[Coût total]))</f>
        <v>0.57301587301587298</v>
      </c>
      <c r="M20" s="15">
        <f>SUM(H20*$B$3,I20*$B$4,J20*$B$5,Tableau3[[#This Row],[Bonheur ]]*$B$6,Tableau3[[#This Row],[Coût total]]*$B$7)/SUM($B$3:$B$8)</f>
        <v>0.51994741308336623</v>
      </c>
    </row>
    <row r="21" spans="1:14">
      <c r="A21" t="s">
        <v>18</v>
      </c>
      <c r="B21">
        <v>10</v>
      </c>
      <c r="C21" t="s">
        <v>19</v>
      </c>
      <c r="D21" s="3">
        <f>ajustement!F15</f>
        <v>32</v>
      </c>
      <c r="E21" s="8">
        <f>ajustement!H15/ajustement!$B$2</f>
        <v>32.666666666666664</v>
      </c>
      <c r="F21" s="7">
        <f>ajustement!H15/ajustement!I15</f>
        <v>2.98780487804878</v>
      </c>
      <c r="G21" s="9">
        <f>ajustement!J15/ajustement!$B$2</f>
        <v>17.866666666666667</v>
      </c>
      <c r="H21" s="13">
        <f t="shared" si="0"/>
        <v>0.72592592592592586</v>
      </c>
      <c r="I21" s="14">
        <f t="shared" si="1"/>
        <v>0.63490853658536572</v>
      </c>
      <c r="J21" s="14">
        <f t="shared" si="2"/>
        <v>0.63809523809523816</v>
      </c>
      <c r="K21" s="14">
        <f>ajustement!F15/MAX(ajustement!F$5:F$19)</f>
        <v>0.64</v>
      </c>
      <c r="L21" s="14">
        <f>1-(ajustement!M15/MAX(Tableau4[Coût total]))</f>
        <v>0.24021164021164021</v>
      </c>
      <c r="M21" s="15">
        <f>SUM(H21*$B$3,I21*$B$4,J21*$B$5,Tableau3[[#This Row],[Bonheur ]]*$B$6,Tableau3[[#This Row],[Coût total]]*$B$7)/SUM($B$3:$B$8)</f>
        <v>0.56309469655070699</v>
      </c>
    </row>
    <row r="22" spans="1:14">
      <c r="A22" t="s">
        <v>18</v>
      </c>
      <c r="B22">
        <v>11</v>
      </c>
      <c r="C22" t="s">
        <v>20</v>
      </c>
      <c r="D22" s="3">
        <f>ajustement!F16</f>
        <v>40</v>
      </c>
      <c r="E22" s="8">
        <f>ajustement!H16/ajustement!$B$2</f>
        <v>33.333333333333329</v>
      </c>
      <c r="F22" s="7">
        <f>ajustement!H16/ajustement!I16</f>
        <v>2.9411764705882351</v>
      </c>
      <c r="G22" s="9">
        <f>ajustement!J16/ajustement!$B$2</f>
        <v>21.333333333333332</v>
      </c>
      <c r="H22" s="13">
        <f t="shared" si="0"/>
        <v>0.74074074074074059</v>
      </c>
      <c r="I22" s="14">
        <f t="shared" si="1"/>
        <v>0.62499999999999989</v>
      </c>
      <c r="J22" s="14">
        <f t="shared" si="2"/>
        <v>0.76190476190476186</v>
      </c>
      <c r="K22" s="14">
        <f>ajustement!F16/MAX(ajustement!F$5:F$19)</f>
        <v>0.8</v>
      </c>
      <c r="L22" s="14">
        <f>1-(ajustement!M16/MAX(Tableau4[Coût total]))</f>
        <v>0.1335978835978836</v>
      </c>
      <c r="M22" s="15">
        <f>SUM(H22*$B$3,I22*$B$4,J22*$B$5,Tableau3[[#This Row],[Bonheur ]]*$B$6,Tableau3[[#This Row],[Coût total]]*$B$7)/SUM($B$3:$B$8)</f>
        <v>0.57688964474678761</v>
      </c>
    </row>
    <row r="23" spans="1:14">
      <c r="A23" t="s">
        <v>21</v>
      </c>
      <c r="B23">
        <v>12</v>
      </c>
      <c r="C23" t="s">
        <v>22</v>
      </c>
      <c r="D23" s="3">
        <f>ajustement!F17</f>
        <v>50</v>
      </c>
      <c r="E23" s="8">
        <f>ajustement!H17/ajustement!$B$2</f>
        <v>39.166666666666664</v>
      </c>
      <c r="F23" s="7">
        <f>ajustement!H17/ajustement!I17</f>
        <v>3.1972789115646258</v>
      </c>
      <c r="G23" s="9">
        <f>ajustement!J17/ajustement!$B$2</f>
        <v>21.5</v>
      </c>
      <c r="H23" s="13">
        <f t="shared" si="0"/>
        <v>0.87037037037037035</v>
      </c>
      <c r="I23" s="14">
        <f t="shared" si="1"/>
        <v>0.67942176870748294</v>
      </c>
      <c r="J23" s="14">
        <f t="shared" si="2"/>
        <v>0.7678571428571429</v>
      </c>
      <c r="K23" s="14">
        <f>ajustement!F17/MAX(ajustement!F$5:F$19)</f>
        <v>1</v>
      </c>
      <c r="L23" s="14">
        <f>1-(ajustement!M17/MAX(Tableau4[Coût total]))</f>
        <v>0.11772486772486779</v>
      </c>
      <c r="M23" s="15">
        <f>SUM(H23*$B$3,I23*$B$4,J23*$B$5,Tableau3[[#This Row],[Bonheur ]]*$B$6,Tableau3[[#This Row],[Coût total]]*$B$7)/SUM($B$3:$B$8)</f>
        <v>0.65655369290573362</v>
      </c>
    </row>
    <row r="24" spans="1:14">
      <c r="A24" t="s">
        <v>21</v>
      </c>
      <c r="B24">
        <v>13</v>
      </c>
      <c r="C24" t="s">
        <v>23</v>
      </c>
      <c r="D24" s="3">
        <f>ajustement!F18</f>
        <v>40</v>
      </c>
      <c r="E24" s="8">
        <f>ajustement!H18/ajustement!$B$2</f>
        <v>45</v>
      </c>
      <c r="F24" s="7">
        <f>ajustement!H18/ajustement!I18</f>
        <v>2.4657534246575343</v>
      </c>
      <c r="G24" s="9">
        <f>ajustement!J18/ajustement!$B$2</f>
        <v>15.5</v>
      </c>
      <c r="H24" s="13">
        <f t="shared" si="0"/>
        <v>1</v>
      </c>
      <c r="I24" s="14">
        <f t="shared" si="1"/>
        <v>0.52397260273972601</v>
      </c>
      <c r="J24" s="14">
        <f t="shared" si="2"/>
        <v>0.5535714285714286</v>
      </c>
      <c r="K24" s="14">
        <f>ajustement!F18/MAX(ajustement!F$5:F$19)</f>
        <v>0.8</v>
      </c>
      <c r="L24" s="14">
        <f>1-(ajustement!M18/MAX(Tableau4[Coût total]))</f>
        <v>0.23253968253968249</v>
      </c>
      <c r="M24" s="15">
        <f>SUM(H24*$B$3,I24*$B$4,J24*$B$5,Tableau3[[#This Row],[Bonheur ]]*$B$6,Tableau3[[#This Row],[Coût total]]*$B$7)/SUM($B$3:$B$8)</f>
        <v>0.62949418351815611</v>
      </c>
    </row>
    <row r="25" spans="1:14" ht="15" thickBot="1">
      <c r="A25" t="s">
        <v>21</v>
      </c>
      <c r="B25">
        <v>14</v>
      </c>
      <c r="C25" t="s">
        <v>24</v>
      </c>
      <c r="D25" s="3">
        <f>ajustement!F19</f>
        <v>50</v>
      </c>
      <c r="E25" s="10">
        <f>ajustement!H19/ajustement!$B$2</f>
        <v>40</v>
      </c>
      <c r="F25" s="11">
        <f>ajustement!H19/ajustement!I19</f>
        <v>4.7058823529411766</v>
      </c>
      <c r="G25" s="12">
        <f>ajustement!J19/ajustement!$B$2</f>
        <v>28</v>
      </c>
      <c r="H25" s="16">
        <f t="shared" si="0"/>
        <v>0.88888888888888884</v>
      </c>
      <c r="I25" s="17">
        <f t="shared" si="1"/>
        <v>1</v>
      </c>
      <c r="J25" s="17">
        <f t="shared" si="2"/>
        <v>1</v>
      </c>
      <c r="K25" s="17">
        <f>ajustement!F19/MAX(ajustement!F$5:F$19)</f>
        <v>1</v>
      </c>
      <c r="L25" s="17">
        <f>1-(ajustement!M19/MAX(Tableau4[Coût total]))</f>
        <v>0</v>
      </c>
      <c r="M25" s="18">
        <f>SUM(H25*$B$3,I25*$B$4,J25*$B$5,Tableau3[[#This Row],[Bonheur ]]*$B$6,Tableau3[[#This Row],[Coût total]]*$B$7)/SUM($B$3:$B$8)</f>
        <v>0.78174603174603174</v>
      </c>
    </row>
    <row r="26" spans="1:14" ht="15" thickTop="1">
      <c r="N26" s="6"/>
    </row>
  </sheetData>
  <mergeCells count="2">
    <mergeCell ref="E9:G9"/>
    <mergeCell ref="H9:M9"/>
  </mergeCells>
  <conditionalFormatting sqref="M11:M25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1:L25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{4F5E8917-30BE-4BED-94D5-8A04B9CD2534}</x14:id>
        </ext>
      </extLst>
    </cfRule>
  </conditionalFormatting>
  <pageMargins left="0.7" right="0.7" top="0.75" bottom="0.75" header="0.3" footer="0.3"/>
  <tableParts count="2">
    <tablePart r:id="rId1"/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F5E8917-30BE-4BED-94D5-8A04B9CD253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H11:L25</xm:sqref>
        </x14:conditionalFormatting>
      </x14:conditionalFormattings>
    </ex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8"/>
  <sheetViews>
    <sheetView workbookViewId="0">
      <selection activeCell="B8" sqref="B8"/>
    </sheetView>
  </sheetViews>
  <sheetFormatPr baseColWidth="10" defaultRowHeight="14" x14ac:dyDescent="0"/>
  <cols>
    <col min="1" max="1" width="20.5" customWidth="1"/>
    <col min="7" max="7" width="20.33203125" customWidth="1"/>
  </cols>
  <sheetData>
    <row r="2" spans="1:2">
      <c r="A2" s="4" t="s">
        <v>5</v>
      </c>
      <c r="B2" s="4">
        <v>5</v>
      </c>
    </row>
    <row r="3" spans="1:2">
      <c r="A3" s="4" t="s">
        <v>21</v>
      </c>
      <c r="B3" s="4">
        <v>25</v>
      </c>
    </row>
    <row r="4" spans="1:2">
      <c r="A4" s="4" t="s">
        <v>9</v>
      </c>
      <c r="B4" s="4">
        <v>10</v>
      </c>
    </row>
    <row r="5" spans="1:2">
      <c r="A5" s="4" t="s">
        <v>12</v>
      </c>
      <c r="B5" s="4">
        <v>15</v>
      </c>
    </row>
    <row r="6" spans="1:2">
      <c r="A6" s="4" t="s">
        <v>15</v>
      </c>
      <c r="B6" s="4">
        <v>20</v>
      </c>
    </row>
    <row r="7" spans="1:2">
      <c r="A7" s="4" t="s">
        <v>3</v>
      </c>
      <c r="B7" s="4">
        <v>0</v>
      </c>
    </row>
    <row r="8" spans="1:2">
      <c r="A8" s="4" t="s">
        <v>18</v>
      </c>
      <c r="B8" s="4">
        <v>20</v>
      </c>
    </row>
  </sheetData>
  <sortState ref="G2:H7">
    <sortCondition ref="H2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18"/>
  <sheetViews>
    <sheetView workbookViewId="0">
      <selection activeCell="I34" sqref="I34"/>
    </sheetView>
  </sheetViews>
  <sheetFormatPr baseColWidth="10" defaultRowHeight="14" x14ac:dyDescent="0"/>
  <cols>
    <col min="2" max="2" width="3" bestFit="1" customWidth="1"/>
    <col min="3" max="3" width="25.5" bestFit="1" customWidth="1"/>
    <col min="4" max="4" width="5.6640625" customWidth="1"/>
    <col min="5" max="5" width="6.83203125" bestFit="1" customWidth="1"/>
    <col min="6" max="6" width="8.5" customWidth="1"/>
    <col min="7" max="29" width="5.6640625" customWidth="1"/>
  </cols>
  <sheetData>
    <row r="2" spans="1:29">
      <c r="A2" s="197" t="s">
        <v>0</v>
      </c>
      <c r="B2" s="197"/>
      <c r="C2" s="197" t="s">
        <v>2</v>
      </c>
      <c r="D2" s="198" t="s">
        <v>259</v>
      </c>
      <c r="E2" s="197" t="s">
        <v>258</v>
      </c>
      <c r="F2" s="196" t="s">
        <v>257</v>
      </c>
      <c r="G2" s="199" t="s">
        <v>256</v>
      </c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</row>
    <row r="3" spans="1:29">
      <c r="A3" s="197"/>
      <c r="B3" s="197"/>
      <c r="C3" s="197"/>
      <c r="D3" s="198"/>
      <c r="E3" s="197"/>
      <c r="F3" s="196"/>
      <c r="G3" s="195">
        <v>1</v>
      </c>
      <c r="H3" s="195">
        <v>2</v>
      </c>
      <c r="I3" s="195">
        <v>3</v>
      </c>
      <c r="J3" s="195">
        <v>4</v>
      </c>
      <c r="K3" s="195">
        <v>5</v>
      </c>
      <c r="L3" s="195">
        <v>6</v>
      </c>
      <c r="M3" s="195">
        <v>7</v>
      </c>
      <c r="N3" s="195">
        <v>8</v>
      </c>
      <c r="O3" s="195">
        <v>9</v>
      </c>
      <c r="P3" s="195">
        <v>10</v>
      </c>
      <c r="Q3" s="195">
        <v>11</v>
      </c>
      <c r="R3" s="195">
        <v>12</v>
      </c>
      <c r="S3" s="195">
        <v>14</v>
      </c>
      <c r="T3" s="195">
        <v>16</v>
      </c>
      <c r="U3" s="195">
        <v>18</v>
      </c>
      <c r="V3" s="195">
        <v>20</v>
      </c>
      <c r="W3" s="195">
        <v>22</v>
      </c>
      <c r="X3" s="195">
        <v>24</v>
      </c>
      <c r="Y3" s="195">
        <v>30</v>
      </c>
      <c r="Z3" s="195">
        <v>40</v>
      </c>
      <c r="AA3" s="195">
        <v>50</v>
      </c>
      <c r="AB3" s="195">
        <v>100</v>
      </c>
      <c r="AC3" s="195">
        <v>150</v>
      </c>
    </row>
    <row r="4" spans="1:29">
      <c r="A4" s="193" t="s">
        <v>3</v>
      </c>
      <c r="B4" s="192">
        <v>0</v>
      </c>
      <c r="C4" s="192" t="s">
        <v>255</v>
      </c>
      <c r="D4" s="192">
        <v>6</v>
      </c>
      <c r="E4" s="192">
        <f>5*60/3600</f>
        <v>8.3333333333333329E-2</v>
      </c>
      <c r="F4" s="192">
        <f>VLOOKUP(E4,[1]nbRécoltes!$B$3:$C$8,2)</f>
        <v>72</v>
      </c>
      <c r="G4" s="191">
        <f>$D4*G$3</f>
        <v>6</v>
      </c>
      <c r="H4" s="191">
        <f>$D4*H$3</f>
        <v>12</v>
      </c>
      <c r="I4" s="191">
        <f>$D4*I$3</f>
        <v>18</v>
      </c>
      <c r="J4" s="191">
        <f>$D4*J$3</f>
        <v>24</v>
      </c>
      <c r="K4" s="191">
        <f>$D4*K$3</f>
        <v>30</v>
      </c>
      <c r="L4" s="191">
        <f>$D4*L$3</f>
        <v>36</v>
      </c>
      <c r="M4" s="191">
        <f>$D4*M$3</f>
        <v>42</v>
      </c>
      <c r="N4" s="191">
        <f>$D4*N$3</f>
        <v>48</v>
      </c>
      <c r="O4" s="191">
        <f>$D4*O$3</f>
        <v>54</v>
      </c>
      <c r="P4" s="191">
        <f>$D4*P$3</f>
        <v>60</v>
      </c>
      <c r="Q4" s="191">
        <f>$D4*Q$3</f>
        <v>66</v>
      </c>
      <c r="R4" s="191">
        <f>$D4*R$3</f>
        <v>72</v>
      </c>
      <c r="S4" s="191">
        <f>$D4*S$3</f>
        <v>84</v>
      </c>
      <c r="T4" s="191">
        <f>$D4*T$3</f>
        <v>96</v>
      </c>
      <c r="U4" s="191">
        <f>$D4*U$3</f>
        <v>108</v>
      </c>
      <c r="V4" s="191">
        <f>$D4*V$3</f>
        <v>120</v>
      </c>
      <c r="W4" s="191">
        <f>$D4*W$3</f>
        <v>132</v>
      </c>
      <c r="X4" s="191">
        <f>$D4*X$3</f>
        <v>144</v>
      </c>
      <c r="Y4" s="191">
        <f>$D4*Y$3</f>
        <v>180</v>
      </c>
      <c r="Z4" s="191">
        <f>$D4*Z$3</f>
        <v>240</v>
      </c>
      <c r="AA4" s="191">
        <f>$D4*AA$3</f>
        <v>300</v>
      </c>
      <c r="AB4" s="191">
        <f>$D4*AB$3</f>
        <v>600</v>
      </c>
      <c r="AC4" s="194">
        <f>$D4*AC$3</f>
        <v>900</v>
      </c>
    </row>
    <row r="5" spans="1:29">
      <c r="A5" s="193" t="s">
        <v>5</v>
      </c>
      <c r="B5" s="192">
        <v>1</v>
      </c>
      <c r="C5" s="192" t="s">
        <v>254</v>
      </c>
      <c r="D5" s="192">
        <v>13</v>
      </c>
      <c r="E5" s="192">
        <f>15*60/3600</f>
        <v>0.25</v>
      </c>
      <c r="F5" s="192">
        <f>VLOOKUP(E5,[1]nbRécoltes!$B$3:$C$8,2)</f>
        <v>24</v>
      </c>
      <c r="G5" s="191">
        <f>$D5*G$3</f>
        <v>13</v>
      </c>
      <c r="H5" s="191">
        <f>$D5*H$3</f>
        <v>26</v>
      </c>
      <c r="I5" s="191">
        <f>$D5*I$3</f>
        <v>39</v>
      </c>
      <c r="J5" s="191">
        <f>$D5*J$3</f>
        <v>52</v>
      </c>
      <c r="K5" s="191">
        <f>$D5*K$3</f>
        <v>65</v>
      </c>
      <c r="L5" s="191">
        <f>$D5*L$3</f>
        <v>78</v>
      </c>
      <c r="M5" s="191">
        <f>$D5*M$3</f>
        <v>91</v>
      </c>
      <c r="N5" s="191">
        <f>$D5*N$3</f>
        <v>104</v>
      </c>
      <c r="O5" s="191">
        <f>$D5*O$3</f>
        <v>117</v>
      </c>
      <c r="P5" s="191">
        <f>$D5*P$3</f>
        <v>130</v>
      </c>
      <c r="Q5" s="191">
        <f>$D5*Q$3</f>
        <v>143</v>
      </c>
      <c r="R5" s="191">
        <f>$D5*R$3</f>
        <v>156</v>
      </c>
      <c r="S5" s="191">
        <f>$D5*S$3</f>
        <v>182</v>
      </c>
      <c r="T5" s="191">
        <f>$D5*T$3</f>
        <v>208</v>
      </c>
      <c r="U5" s="191">
        <f>$D5*U$3</f>
        <v>234</v>
      </c>
      <c r="V5" s="191">
        <f>$D5*V$3</f>
        <v>260</v>
      </c>
      <c r="W5" s="191">
        <f>$D5*W$3</f>
        <v>286</v>
      </c>
      <c r="X5" s="191">
        <f>$D5*X$3</f>
        <v>312</v>
      </c>
      <c r="Y5" s="191">
        <f>$D5*Y$3</f>
        <v>390</v>
      </c>
      <c r="Z5" s="191">
        <f>$D5*Z$3</f>
        <v>520</v>
      </c>
      <c r="AA5" s="191">
        <f>$D5*AA$3</f>
        <v>650</v>
      </c>
      <c r="AB5" s="190"/>
      <c r="AC5" s="189"/>
    </row>
    <row r="6" spans="1:29">
      <c r="A6" s="193" t="s">
        <v>5</v>
      </c>
      <c r="B6" s="192">
        <v>2</v>
      </c>
      <c r="C6" s="192" t="s">
        <v>253</v>
      </c>
      <c r="D6" s="192">
        <v>80</v>
      </c>
      <c r="E6" s="192">
        <v>4</v>
      </c>
      <c r="F6" s="192">
        <f>VLOOKUP(E6,[1]nbRécoltes!$B$3:$C$8,2)</f>
        <v>3</v>
      </c>
      <c r="G6" s="191">
        <f>$D6*G$3</f>
        <v>80</v>
      </c>
      <c r="H6" s="191">
        <f>$D6*H$3</f>
        <v>160</v>
      </c>
      <c r="I6" s="191">
        <f>$D6*I$3</f>
        <v>240</v>
      </c>
      <c r="J6" s="191">
        <f>$D6*J$3</f>
        <v>320</v>
      </c>
      <c r="K6" s="191">
        <f>$D6*K$3</f>
        <v>400</v>
      </c>
      <c r="L6" s="191">
        <f>$D6*L$3</f>
        <v>480</v>
      </c>
      <c r="M6" s="190"/>
      <c r="N6" s="190"/>
      <c r="O6" s="190"/>
      <c r="P6" s="190"/>
      <c r="Q6" s="190"/>
      <c r="R6" s="190"/>
      <c r="S6" s="190"/>
      <c r="T6" s="190"/>
      <c r="U6" s="190"/>
      <c r="V6" s="190"/>
      <c r="W6" s="190"/>
      <c r="X6" s="190"/>
      <c r="Y6" s="190"/>
      <c r="Z6" s="190"/>
      <c r="AA6" s="190"/>
      <c r="AB6" s="190"/>
      <c r="AC6" s="189"/>
    </row>
    <row r="7" spans="1:29">
      <c r="A7" s="193" t="s">
        <v>5</v>
      </c>
      <c r="B7" s="192">
        <v>3</v>
      </c>
      <c r="C7" s="192" t="s">
        <v>252</v>
      </c>
      <c r="D7" s="192">
        <v>32</v>
      </c>
      <c r="E7" s="192">
        <v>1</v>
      </c>
      <c r="F7" s="192">
        <f>VLOOKUP(E7,[1]nbRécoltes!$B$3:$C$8,2)</f>
        <v>8</v>
      </c>
      <c r="G7" s="191">
        <f>$D7*G$3</f>
        <v>32</v>
      </c>
      <c r="H7" s="191">
        <f>$D7*H$3</f>
        <v>64</v>
      </c>
      <c r="I7" s="191">
        <f>$D7*I$3</f>
        <v>96</v>
      </c>
      <c r="J7" s="191">
        <f>$D7*J$3</f>
        <v>128</v>
      </c>
      <c r="K7" s="191">
        <f>$D7*K$3</f>
        <v>160</v>
      </c>
      <c r="L7" s="191">
        <f>$D7*L$3</f>
        <v>192</v>
      </c>
      <c r="M7" s="191">
        <f>$D7*M$3</f>
        <v>224</v>
      </c>
      <c r="N7" s="191">
        <f>$D7*N$3</f>
        <v>256</v>
      </c>
      <c r="O7" s="191">
        <f>$D7*O$3</f>
        <v>288</v>
      </c>
      <c r="P7" s="191">
        <f>$D7*P$3</f>
        <v>320</v>
      </c>
      <c r="Q7" s="191">
        <f>$D7*Q$3</f>
        <v>352</v>
      </c>
      <c r="R7" s="191">
        <f>$D7*R$3</f>
        <v>384</v>
      </c>
      <c r="S7" s="191">
        <f>$D7*S$3</f>
        <v>448</v>
      </c>
      <c r="T7" s="191">
        <f>$D7*T$3</f>
        <v>512</v>
      </c>
      <c r="U7" s="191">
        <f>$D7*U$3</f>
        <v>576</v>
      </c>
      <c r="V7" s="191">
        <f>$D7*V$3</f>
        <v>640</v>
      </c>
      <c r="W7" s="191">
        <f>$D7*W$3</f>
        <v>704</v>
      </c>
      <c r="X7" s="191">
        <f>$D7*X$3</f>
        <v>768</v>
      </c>
      <c r="Y7" s="190"/>
      <c r="Z7" s="190"/>
      <c r="AA7" s="190"/>
      <c r="AB7" s="190"/>
      <c r="AC7" s="189"/>
    </row>
    <row r="8" spans="1:29">
      <c r="A8" s="193" t="s">
        <v>9</v>
      </c>
      <c r="B8" s="192">
        <v>4</v>
      </c>
      <c r="C8" s="192" t="s">
        <v>251</v>
      </c>
      <c r="D8" s="192">
        <v>18</v>
      </c>
      <c r="E8" s="192">
        <f>15*60/3600</f>
        <v>0.25</v>
      </c>
      <c r="F8" s="192">
        <f>VLOOKUP(E8,[1]nbRécoltes!$B$3:$C$8,2)</f>
        <v>24</v>
      </c>
      <c r="G8" s="191">
        <f>$D8*G$3</f>
        <v>18</v>
      </c>
      <c r="H8" s="191">
        <f>$D8*H$3</f>
        <v>36</v>
      </c>
      <c r="I8" s="191">
        <f>$D8*I$3</f>
        <v>54</v>
      </c>
      <c r="J8" s="191">
        <f>$D8*J$3</f>
        <v>72</v>
      </c>
      <c r="K8" s="191">
        <f>$D8*K$3</f>
        <v>90</v>
      </c>
      <c r="L8" s="191">
        <f>$D8*L$3</f>
        <v>108</v>
      </c>
      <c r="M8" s="191">
        <f>$D8*M$3</f>
        <v>126</v>
      </c>
      <c r="N8" s="191">
        <f>$D8*N$3</f>
        <v>144</v>
      </c>
      <c r="O8" s="191">
        <f>$D8*O$3</f>
        <v>162</v>
      </c>
      <c r="P8" s="191">
        <f>$D8*P$3</f>
        <v>180</v>
      </c>
      <c r="Q8" s="191">
        <f>$D8*Q$3</f>
        <v>198</v>
      </c>
      <c r="R8" s="191">
        <f>$D8*R$3</f>
        <v>216</v>
      </c>
      <c r="S8" s="191">
        <f>$D8*S$3</f>
        <v>252</v>
      </c>
      <c r="T8" s="191">
        <f>$D8*T$3</f>
        <v>288</v>
      </c>
      <c r="U8" s="191">
        <f>$D8*U$3</f>
        <v>324</v>
      </c>
      <c r="V8" s="191">
        <f>$D8*V$3</f>
        <v>360</v>
      </c>
      <c r="W8" s="191">
        <f>$D8*W$3</f>
        <v>396</v>
      </c>
      <c r="X8" s="191">
        <f>$D8*X$3</f>
        <v>432</v>
      </c>
      <c r="Y8" s="190"/>
      <c r="Z8" s="190"/>
      <c r="AA8" s="190"/>
      <c r="AB8" s="190"/>
      <c r="AC8" s="189"/>
    </row>
    <row r="9" spans="1:29">
      <c r="A9" s="193" t="s">
        <v>9</v>
      </c>
      <c r="B9" s="192">
        <v>5</v>
      </c>
      <c r="C9" s="192" t="s">
        <v>250</v>
      </c>
      <c r="D9" s="192">
        <v>110</v>
      </c>
      <c r="E9" s="192">
        <v>4</v>
      </c>
      <c r="F9" s="192">
        <f>VLOOKUP(E9,[1]nbRécoltes!$B$3:$C$8,2)</f>
        <v>3</v>
      </c>
      <c r="G9" s="191">
        <f>$D9*G$3</f>
        <v>110</v>
      </c>
      <c r="H9" s="191">
        <f>$D9*H$3</f>
        <v>220</v>
      </c>
      <c r="I9" s="191">
        <f>$D9*I$3</f>
        <v>330</v>
      </c>
      <c r="J9" s="191">
        <f>$D9*J$3</f>
        <v>440</v>
      </c>
      <c r="K9" s="191">
        <f>$D9*K$3</f>
        <v>550</v>
      </c>
      <c r="L9" s="191">
        <f>$D9*L$3</f>
        <v>660</v>
      </c>
      <c r="M9" s="190"/>
      <c r="N9" s="190"/>
      <c r="O9" s="190"/>
      <c r="P9" s="190"/>
      <c r="Q9" s="190"/>
      <c r="R9" s="190"/>
      <c r="S9" s="190"/>
      <c r="T9" s="190"/>
      <c r="U9" s="190"/>
      <c r="V9" s="190"/>
      <c r="W9" s="190"/>
      <c r="X9" s="190"/>
      <c r="Y9" s="190"/>
      <c r="Z9" s="190"/>
      <c r="AA9" s="190"/>
      <c r="AB9" s="190"/>
      <c r="AC9" s="189"/>
    </row>
    <row r="10" spans="1:29">
      <c r="A10" s="193" t="s">
        <v>248</v>
      </c>
      <c r="B10" s="192">
        <v>6</v>
      </c>
      <c r="C10" s="192" t="s">
        <v>249</v>
      </c>
      <c r="D10" s="192">
        <v>60</v>
      </c>
      <c r="E10" s="192">
        <v>1</v>
      </c>
      <c r="F10" s="192">
        <f>VLOOKUP(E10,[1]nbRécoltes!$B$3:$C$8,2)</f>
        <v>8</v>
      </c>
      <c r="G10" s="191">
        <f>$D10*G$3</f>
        <v>60</v>
      </c>
      <c r="H10" s="191">
        <f>$D10*H$3</f>
        <v>120</v>
      </c>
      <c r="I10" s="191">
        <f>$D10*I$3</f>
        <v>180</v>
      </c>
      <c r="J10" s="191">
        <f>$D10*J$3</f>
        <v>240</v>
      </c>
      <c r="K10" s="191">
        <f>$D10*K$3</f>
        <v>300</v>
      </c>
      <c r="L10" s="191">
        <f>$D10*L$3</f>
        <v>360</v>
      </c>
      <c r="M10" s="191">
        <f>$D10*M$3</f>
        <v>420</v>
      </c>
      <c r="N10" s="191">
        <f>$D10*N$3</f>
        <v>480</v>
      </c>
      <c r="O10" s="191">
        <f>$D10*O$3</f>
        <v>540</v>
      </c>
      <c r="P10" s="191">
        <f>$D10*P$3</f>
        <v>600</v>
      </c>
      <c r="Q10" s="191">
        <f>$D10*Q$3</f>
        <v>660</v>
      </c>
      <c r="R10" s="191">
        <f>$D10*R$3</f>
        <v>720</v>
      </c>
      <c r="S10" s="191">
        <f>$D10*S$3</f>
        <v>840</v>
      </c>
      <c r="T10" s="191">
        <f>$D10*T$3</f>
        <v>960</v>
      </c>
      <c r="U10" s="191">
        <f>$D10*U$3</f>
        <v>1080</v>
      </c>
      <c r="V10" s="191">
        <f>$D10*V$3</f>
        <v>1200</v>
      </c>
      <c r="W10" s="191">
        <f>$D10*W$3</f>
        <v>1320</v>
      </c>
      <c r="X10" s="191">
        <f>$D10*X$3</f>
        <v>1440</v>
      </c>
      <c r="Y10" s="190"/>
      <c r="Z10" s="190"/>
      <c r="AA10" s="190"/>
      <c r="AB10" s="190"/>
      <c r="AC10" s="189"/>
    </row>
    <row r="11" spans="1:29">
      <c r="A11" s="193" t="s">
        <v>248</v>
      </c>
      <c r="B11" s="192">
        <v>7</v>
      </c>
      <c r="C11" s="192" t="s">
        <v>247</v>
      </c>
      <c r="D11" s="192">
        <v>240</v>
      </c>
      <c r="E11" s="192">
        <v>8</v>
      </c>
      <c r="F11" s="192">
        <f>VLOOKUP(E11,[1]nbRécoltes!$B$3:$C$8,2)</f>
        <v>2</v>
      </c>
      <c r="G11" s="191">
        <f>$D11*G$3</f>
        <v>240</v>
      </c>
      <c r="H11" s="191">
        <f>$D11*H$3</f>
        <v>480</v>
      </c>
      <c r="I11" s="191">
        <f>$D11*I$3</f>
        <v>720</v>
      </c>
      <c r="J11" s="190"/>
      <c r="K11" s="190"/>
      <c r="L11" s="190"/>
      <c r="M11" s="190"/>
      <c r="N11" s="190"/>
      <c r="O11" s="190"/>
      <c r="P11" s="190"/>
      <c r="Q11" s="190"/>
      <c r="R11" s="190"/>
      <c r="S11" s="190"/>
      <c r="T11" s="190"/>
      <c r="U11" s="190"/>
      <c r="V11" s="190"/>
      <c r="W11" s="190"/>
      <c r="X11" s="190"/>
      <c r="Y11" s="190"/>
      <c r="Z11" s="190"/>
      <c r="AA11" s="190"/>
      <c r="AB11" s="190"/>
      <c r="AC11" s="189"/>
    </row>
    <row r="12" spans="1:29">
      <c r="A12" s="193" t="s">
        <v>245</v>
      </c>
      <c r="B12" s="192">
        <v>8</v>
      </c>
      <c r="C12" s="192" t="s">
        <v>246</v>
      </c>
      <c r="D12" s="192">
        <v>90</v>
      </c>
      <c r="E12" s="192">
        <v>1</v>
      </c>
      <c r="F12" s="192">
        <f>VLOOKUP(E12,[1]nbRécoltes!$B$3:$C$8,2)</f>
        <v>8</v>
      </c>
      <c r="G12" s="191">
        <f>$D12*G$3</f>
        <v>90</v>
      </c>
      <c r="H12" s="191">
        <f>$D12*H$3</f>
        <v>180</v>
      </c>
      <c r="I12" s="191">
        <f>$D12*I$3</f>
        <v>270</v>
      </c>
      <c r="J12" s="191">
        <f>$D12*J$3</f>
        <v>360</v>
      </c>
      <c r="K12" s="191">
        <f>$D12*K$3</f>
        <v>450</v>
      </c>
      <c r="L12" s="191">
        <f>$D12*L$3</f>
        <v>540</v>
      </c>
      <c r="M12" s="191">
        <f>$D12*M$3</f>
        <v>630</v>
      </c>
      <c r="N12" s="191">
        <f>$D12*N$3</f>
        <v>720</v>
      </c>
      <c r="O12" s="191">
        <f>$D12*O$3</f>
        <v>810</v>
      </c>
      <c r="P12" s="191">
        <f>$D12*P$3</f>
        <v>900</v>
      </c>
      <c r="Q12" s="191">
        <f>$D12*Q$3</f>
        <v>990</v>
      </c>
      <c r="R12" s="191">
        <f>$D12*R$3</f>
        <v>1080</v>
      </c>
      <c r="S12" s="191">
        <f>$D12*S$3</f>
        <v>1260</v>
      </c>
      <c r="T12" s="191">
        <f>$D12*T$3</f>
        <v>1440</v>
      </c>
      <c r="U12" s="191">
        <f>$D12*U$3</f>
        <v>1620</v>
      </c>
      <c r="V12" s="191">
        <f>$D12*V$3</f>
        <v>1800</v>
      </c>
      <c r="W12" s="191">
        <f>$D12*W$3</f>
        <v>1980</v>
      </c>
      <c r="X12" s="191">
        <f>$D12*X$3</f>
        <v>2160</v>
      </c>
      <c r="Y12" s="190"/>
      <c r="Z12" s="190"/>
      <c r="AA12" s="190"/>
      <c r="AB12" s="190"/>
      <c r="AC12" s="189"/>
    </row>
    <row r="13" spans="1:29">
      <c r="A13" s="193" t="s">
        <v>245</v>
      </c>
      <c r="B13" s="192">
        <v>9</v>
      </c>
      <c r="C13" s="192" t="s">
        <v>244</v>
      </c>
      <c r="D13" s="192">
        <v>340</v>
      </c>
      <c r="E13" s="192">
        <v>8</v>
      </c>
      <c r="F13" s="192">
        <f>VLOOKUP(E13,[1]nbRécoltes!$B$3:$C$8,2)</f>
        <v>2</v>
      </c>
      <c r="G13" s="191">
        <f>$D13*G$3</f>
        <v>340</v>
      </c>
      <c r="H13" s="191">
        <f>$D13*H$3</f>
        <v>680</v>
      </c>
      <c r="I13" s="191">
        <f>$D13*I$3</f>
        <v>1020</v>
      </c>
      <c r="J13" s="190"/>
      <c r="K13" s="190"/>
      <c r="L13" s="190"/>
      <c r="M13" s="190"/>
      <c r="N13" s="190"/>
      <c r="O13" s="190"/>
      <c r="P13" s="190"/>
      <c r="Q13" s="190"/>
      <c r="R13" s="190"/>
      <c r="S13" s="190"/>
      <c r="T13" s="190"/>
      <c r="U13" s="190"/>
      <c r="V13" s="190"/>
      <c r="W13" s="190"/>
      <c r="X13" s="190"/>
      <c r="Y13" s="190"/>
      <c r="Z13" s="190"/>
      <c r="AA13" s="190"/>
      <c r="AB13" s="190"/>
      <c r="AC13" s="189"/>
    </row>
    <row r="14" spans="1:29">
      <c r="A14" s="193" t="s">
        <v>18</v>
      </c>
      <c r="B14" s="192">
        <v>10</v>
      </c>
      <c r="C14" s="192" t="s">
        <v>243</v>
      </c>
      <c r="D14" s="192">
        <v>120</v>
      </c>
      <c r="E14" s="192">
        <v>1</v>
      </c>
      <c r="F14" s="192">
        <f>VLOOKUP(E14,[1]nbRécoltes!$B$3:$C$8,2)</f>
        <v>8</v>
      </c>
      <c r="G14" s="191">
        <f>$D14*G$3</f>
        <v>120</v>
      </c>
      <c r="H14" s="191">
        <f>$D14*H$3</f>
        <v>240</v>
      </c>
      <c r="I14" s="191">
        <f>$D14*I$3</f>
        <v>360</v>
      </c>
      <c r="J14" s="191">
        <f>$D14*J$3</f>
        <v>480</v>
      </c>
      <c r="K14" s="191">
        <f>$D14*K$3</f>
        <v>600</v>
      </c>
      <c r="L14" s="191">
        <f>$D14*L$3</f>
        <v>720</v>
      </c>
      <c r="M14" s="191">
        <f>$D14*M$3</f>
        <v>840</v>
      </c>
      <c r="N14" s="191">
        <f>$D14*N$3</f>
        <v>960</v>
      </c>
      <c r="O14" s="191">
        <f>$D14*O$3</f>
        <v>1080</v>
      </c>
      <c r="P14" s="191">
        <f>$D14*P$3</f>
        <v>1200</v>
      </c>
      <c r="Q14" s="191">
        <f>$D14*Q$3</f>
        <v>1320</v>
      </c>
      <c r="R14" s="191">
        <f>$D14*R$3</f>
        <v>1440</v>
      </c>
      <c r="S14" s="191">
        <f>$D14*S$3</f>
        <v>1680</v>
      </c>
      <c r="T14" s="191">
        <f>$D14*T$3</f>
        <v>1920</v>
      </c>
      <c r="U14" s="191">
        <f>$D14*U$3</f>
        <v>2160</v>
      </c>
      <c r="V14" s="191">
        <f>$D14*V$3</f>
        <v>2400</v>
      </c>
      <c r="W14" s="191">
        <f>$D14*W$3</f>
        <v>2640</v>
      </c>
      <c r="X14" s="191">
        <f>$D14*X$3</f>
        <v>2880</v>
      </c>
      <c r="Y14" s="190"/>
      <c r="Z14" s="190"/>
      <c r="AA14" s="190"/>
      <c r="AB14" s="190"/>
      <c r="AC14" s="189"/>
    </row>
    <row r="15" spans="1:29">
      <c r="A15" s="193" t="s">
        <v>18</v>
      </c>
      <c r="B15" s="192">
        <v>11</v>
      </c>
      <c r="C15" s="192" t="s">
        <v>242</v>
      </c>
      <c r="D15" s="192">
        <v>440</v>
      </c>
      <c r="E15" s="192">
        <v>8</v>
      </c>
      <c r="F15" s="192">
        <f>VLOOKUP(E15,[1]nbRécoltes!$B$3:$C$8,2)</f>
        <v>2</v>
      </c>
      <c r="G15" s="191">
        <f>$D15*G$3</f>
        <v>440</v>
      </c>
      <c r="H15" s="191">
        <f>$D15*H$3</f>
        <v>880</v>
      </c>
      <c r="I15" s="191">
        <f>$D15*I$3</f>
        <v>1320</v>
      </c>
      <c r="J15" s="190"/>
      <c r="K15" s="190"/>
      <c r="L15" s="190"/>
      <c r="M15" s="190"/>
      <c r="N15" s="190"/>
      <c r="O15" s="190"/>
      <c r="P15" s="190"/>
      <c r="Q15" s="190"/>
      <c r="R15" s="190"/>
      <c r="S15" s="190"/>
      <c r="T15" s="190"/>
      <c r="U15" s="190"/>
      <c r="V15" s="190"/>
      <c r="W15" s="190"/>
      <c r="X15" s="190"/>
      <c r="Y15" s="190"/>
      <c r="Z15" s="190"/>
      <c r="AA15" s="190"/>
      <c r="AB15" s="190"/>
      <c r="AC15" s="189"/>
    </row>
    <row r="16" spans="1:29">
      <c r="A16" s="193" t="s">
        <v>21</v>
      </c>
      <c r="B16" s="192">
        <v>12</v>
      </c>
      <c r="C16" s="192" t="s">
        <v>241</v>
      </c>
      <c r="D16" s="192">
        <v>180</v>
      </c>
      <c r="E16" s="192">
        <v>1</v>
      </c>
      <c r="F16" s="192">
        <f>VLOOKUP(E16,[1]nbRécoltes!$B$3:$C$8,2)</f>
        <v>8</v>
      </c>
      <c r="G16" s="191">
        <f>$D16*G$3</f>
        <v>180</v>
      </c>
      <c r="H16" s="191">
        <f>$D16*H$3</f>
        <v>360</v>
      </c>
      <c r="I16" s="191">
        <f>$D16*I$3</f>
        <v>540</v>
      </c>
      <c r="J16" s="191">
        <f>$D16*J$3</f>
        <v>720</v>
      </c>
      <c r="K16" s="191">
        <f>$D16*K$3</f>
        <v>900</v>
      </c>
      <c r="L16" s="191">
        <f>$D16*L$3</f>
        <v>1080</v>
      </c>
      <c r="M16" s="191">
        <f>$D16*M$3</f>
        <v>1260</v>
      </c>
      <c r="N16" s="191">
        <f>$D16*N$3</f>
        <v>1440</v>
      </c>
      <c r="O16" s="191">
        <f>$D16*O$3</f>
        <v>1620</v>
      </c>
      <c r="P16" s="191">
        <f>$D16*P$3</f>
        <v>1800</v>
      </c>
      <c r="Q16" s="191">
        <f>$D16*Q$3</f>
        <v>1980</v>
      </c>
      <c r="R16" s="191">
        <f>$D16*R$3</f>
        <v>2160</v>
      </c>
      <c r="S16" s="191">
        <f>$D16*S$3</f>
        <v>2520</v>
      </c>
      <c r="T16" s="191">
        <f>$D16*T$3</f>
        <v>2880</v>
      </c>
      <c r="U16" s="191">
        <f>$D16*U$3</f>
        <v>3240</v>
      </c>
      <c r="V16" s="191">
        <f>$D16*V$3</f>
        <v>3600</v>
      </c>
      <c r="W16" s="191">
        <f>$D16*W$3</f>
        <v>3960</v>
      </c>
      <c r="X16" s="191">
        <f>$D16*X$3</f>
        <v>4320</v>
      </c>
      <c r="Y16" s="190"/>
      <c r="Z16" s="190"/>
      <c r="AA16" s="190"/>
      <c r="AB16" s="190"/>
      <c r="AC16" s="189"/>
    </row>
    <row r="17" spans="1:29">
      <c r="A17" s="193" t="s">
        <v>21</v>
      </c>
      <c r="B17" s="192">
        <v>13</v>
      </c>
      <c r="C17" s="192" t="s">
        <v>240</v>
      </c>
      <c r="D17" s="192">
        <v>560</v>
      </c>
      <c r="E17" s="192">
        <v>8</v>
      </c>
      <c r="F17" s="192">
        <f>VLOOKUP(E17,[1]nbRécoltes!$B$3:$C$8,2)</f>
        <v>2</v>
      </c>
      <c r="G17" s="191">
        <f>$D17*G$3</f>
        <v>560</v>
      </c>
      <c r="H17" s="191">
        <f>$D17*H$3</f>
        <v>1120</v>
      </c>
      <c r="I17" s="191">
        <f>$D17*I$3</f>
        <v>1680</v>
      </c>
      <c r="J17" s="190"/>
      <c r="K17" s="190"/>
      <c r="L17" s="190"/>
      <c r="M17" s="190"/>
      <c r="N17" s="190"/>
      <c r="O17" s="190"/>
      <c r="P17" s="190"/>
      <c r="Q17" s="190"/>
      <c r="R17" s="190"/>
      <c r="S17" s="190"/>
      <c r="T17" s="190"/>
      <c r="U17" s="190"/>
      <c r="V17" s="190"/>
      <c r="W17" s="190"/>
      <c r="X17" s="190"/>
      <c r="Y17" s="190"/>
      <c r="Z17" s="190"/>
      <c r="AA17" s="190"/>
      <c r="AB17" s="190"/>
      <c r="AC17" s="189"/>
    </row>
    <row r="18" spans="1:29">
      <c r="A18" s="188" t="s">
        <v>21</v>
      </c>
      <c r="B18" s="187">
        <v>14</v>
      </c>
      <c r="C18" s="187" t="s">
        <v>239</v>
      </c>
      <c r="D18" s="187">
        <v>1350</v>
      </c>
      <c r="E18" s="187">
        <v>24</v>
      </c>
      <c r="F18" s="187">
        <f>VLOOKUP(E18,[1]nbRécoltes!$B$3:$C$8,2)</f>
        <v>1</v>
      </c>
      <c r="G18" s="186">
        <f>$D18*G$3</f>
        <v>1350</v>
      </c>
      <c r="H18" s="185"/>
      <c r="I18" s="185"/>
      <c r="J18" s="185"/>
      <c r="K18" s="185"/>
      <c r="L18" s="185"/>
      <c r="M18" s="185"/>
      <c r="N18" s="185"/>
      <c r="O18" s="185"/>
      <c r="P18" s="185"/>
      <c r="Q18" s="185"/>
      <c r="R18" s="185"/>
      <c r="S18" s="185"/>
      <c r="T18" s="185"/>
      <c r="U18" s="185"/>
      <c r="V18" s="185"/>
      <c r="W18" s="185"/>
      <c r="X18" s="185"/>
      <c r="Y18" s="185"/>
      <c r="Z18" s="185"/>
      <c r="AA18" s="185"/>
      <c r="AB18" s="185"/>
      <c r="AC18" s="184"/>
    </row>
  </sheetData>
  <mergeCells count="7">
    <mergeCell ref="G2:AC2"/>
    <mergeCell ref="A2:A3"/>
    <mergeCell ref="B2:B3"/>
    <mergeCell ref="C2:C3"/>
    <mergeCell ref="D2:D3"/>
    <mergeCell ref="E2:E3"/>
    <mergeCell ref="F2:F3"/>
  </mergeCells>
  <conditionalFormatting sqref="G9:V18 G4:X8 W10:X10 W16:X16 W12:X14 Y5:AA5 Y4:AC4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4:AC1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C11" sqref="C11"/>
    </sheetView>
  </sheetViews>
  <sheetFormatPr baseColWidth="10" defaultRowHeight="14" x14ac:dyDescent="0"/>
  <cols>
    <col min="1" max="1" width="20" customWidth="1"/>
    <col min="2" max="2" width="12.5" bestFit="1" customWidth="1"/>
    <col min="3" max="3" width="25.5" bestFit="1" customWidth="1"/>
    <col min="4" max="4" width="13.1640625" customWidth="1"/>
    <col min="5" max="5" width="12.33203125" customWidth="1"/>
    <col min="6" max="6" width="25.33203125" bestFit="1" customWidth="1"/>
    <col min="7" max="7" width="22.6640625" customWidth="1"/>
    <col min="8" max="9" width="13.5" customWidth="1"/>
    <col min="10" max="10" width="17.5" customWidth="1"/>
  </cols>
  <sheetData>
    <row r="1" spans="1:8" ht="28">
      <c r="A1" s="110" t="s">
        <v>0</v>
      </c>
      <c r="B1" s="110" t="s">
        <v>1</v>
      </c>
      <c r="C1" s="110" t="s">
        <v>2</v>
      </c>
      <c r="D1" s="110" t="s">
        <v>260</v>
      </c>
      <c r="E1" s="1" t="s">
        <v>261</v>
      </c>
      <c r="F1" s="1" t="s">
        <v>262</v>
      </c>
      <c r="G1" s="1" t="s">
        <v>263</v>
      </c>
      <c r="H1" s="110" t="s">
        <v>26</v>
      </c>
    </row>
    <row r="2" spans="1:8">
      <c r="A2" t="s">
        <v>3</v>
      </c>
      <c r="B2">
        <v>0</v>
      </c>
      <c r="C2" t="s">
        <v>255</v>
      </c>
      <c r="D2">
        <v>6</v>
      </c>
      <c r="E2" s="3">
        <f>5*60/3600</f>
        <v>8.3333333333333329E-2</v>
      </c>
      <c r="F2" s="3">
        <f t="shared" ref="F2:F16" si="0">D2/E2</f>
        <v>72</v>
      </c>
      <c r="G2" s="3">
        <f>[1]fréquence!F4*D2/24</f>
        <v>18</v>
      </c>
      <c r="H2">
        <v>14</v>
      </c>
    </row>
    <row r="3" spans="1:8">
      <c r="A3" t="s">
        <v>5</v>
      </c>
      <c r="B3">
        <v>1</v>
      </c>
      <c r="C3" t="s">
        <v>254</v>
      </c>
      <c r="D3">
        <v>13</v>
      </c>
      <c r="E3" s="3">
        <f>15*60/3600</f>
        <v>0.25</v>
      </c>
      <c r="F3" s="3">
        <f t="shared" si="0"/>
        <v>52</v>
      </c>
      <c r="G3" s="3">
        <f>[1]fréquence!F5*D3/24</f>
        <v>13</v>
      </c>
      <c r="H3">
        <v>22</v>
      </c>
    </row>
    <row r="4" spans="1:8">
      <c r="A4" t="s">
        <v>5</v>
      </c>
      <c r="B4">
        <v>2</v>
      </c>
      <c r="C4" t="s">
        <v>253</v>
      </c>
      <c r="D4">
        <v>80</v>
      </c>
      <c r="E4" s="3">
        <v>4</v>
      </c>
      <c r="F4" s="3">
        <f t="shared" si="0"/>
        <v>20</v>
      </c>
      <c r="G4" s="3">
        <f>[1]fréquence!F6*D4/24</f>
        <v>10</v>
      </c>
      <c r="H4">
        <v>32</v>
      </c>
    </row>
    <row r="5" spans="1:8">
      <c r="A5" t="s">
        <v>5</v>
      </c>
      <c r="B5">
        <v>3</v>
      </c>
      <c r="C5" t="s">
        <v>252</v>
      </c>
      <c r="D5">
        <v>32</v>
      </c>
      <c r="E5" s="3">
        <v>1</v>
      </c>
      <c r="F5" s="3">
        <f t="shared" si="0"/>
        <v>32</v>
      </c>
      <c r="G5" s="3">
        <f>[1]fréquence!F7*D5/24</f>
        <v>10.666666666666666</v>
      </c>
      <c r="H5">
        <v>27</v>
      </c>
    </row>
    <row r="6" spans="1:8">
      <c r="A6" t="s">
        <v>9</v>
      </c>
      <c r="B6">
        <v>4</v>
      </c>
      <c r="C6" t="s">
        <v>251</v>
      </c>
      <c r="D6">
        <v>18</v>
      </c>
      <c r="E6" s="3">
        <f>15*60/3600</f>
        <v>0.25</v>
      </c>
      <c r="F6" s="3">
        <f t="shared" si="0"/>
        <v>72</v>
      </c>
      <c r="G6" s="3">
        <f>[1]fréquence!F8*D6/24</f>
        <v>18</v>
      </c>
      <c r="H6">
        <v>44</v>
      </c>
    </row>
    <row r="7" spans="1:8">
      <c r="A7" t="s">
        <v>9</v>
      </c>
      <c r="B7">
        <v>5</v>
      </c>
      <c r="C7" t="s">
        <v>250</v>
      </c>
      <c r="D7">
        <v>110</v>
      </c>
      <c r="E7" s="3">
        <v>4</v>
      </c>
      <c r="F7" s="3">
        <f t="shared" si="0"/>
        <v>27.5</v>
      </c>
      <c r="G7" s="3">
        <f>[1]fréquence!F9*D7/24</f>
        <v>13.75</v>
      </c>
      <c r="H7">
        <v>73</v>
      </c>
    </row>
    <row r="8" spans="1:8">
      <c r="A8" t="s">
        <v>248</v>
      </c>
      <c r="B8">
        <v>6</v>
      </c>
      <c r="C8" t="s">
        <v>249</v>
      </c>
      <c r="D8">
        <v>60</v>
      </c>
      <c r="E8" s="3">
        <v>1</v>
      </c>
      <c r="F8" s="3">
        <f t="shared" si="0"/>
        <v>60</v>
      </c>
      <c r="G8" s="3">
        <f>[1]fréquence!F10*D8/24</f>
        <v>20</v>
      </c>
      <c r="H8">
        <v>67</v>
      </c>
    </row>
    <row r="9" spans="1:8">
      <c r="A9" t="s">
        <v>248</v>
      </c>
      <c r="B9">
        <v>7</v>
      </c>
      <c r="C9" t="s">
        <v>247</v>
      </c>
      <c r="D9">
        <v>240</v>
      </c>
      <c r="E9" s="3">
        <v>8</v>
      </c>
      <c r="F9" s="3">
        <f t="shared" si="0"/>
        <v>30</v>
      </c>
      <c r="G9" s="3">
        <f>[1]fréquence!F11*D9/24</f>
        <v>20</v>
      </c>
      <c r="H9">
        <v>111</v>
      </c>
    </row>
    <row r="10" spans="1:8">
      <c r="A10" t="s">
        <v>245</v>
      </c>
      <c r="B10">
        <v>8</v>
      </c>
      <c r="C10" t="s">
        <v>246</v>
      </c>
      <c r="D10">
        <v>90</v>
      </c>
      <c r="E10" s="3">
        <v>1</v>
      </c>
      <c r="F10" s="3">
        <f t="shared" si="0"/>
        <v>90</v>
      </c>
      <c r="G10" s="3">
        <f>[1]fréquence!F12*D10/24</f>
        <v>30</v>
      </c>
      <c r="H10">
        <v>94</v>
      </c>
    </row>
    <row r="11" spans="1:8">
      <c r="A11" t="s">
        <v>245</v>
      </c>
      <c r="B11">
        <v>9</v>
      </c>
      <c r="C11" t="s">
        <v>244</v>
      </c>
      <c r="D11">
        <v>340</v>
      </c>
      <c r="E11" s="3">
        <v>8</v>
      </c>
      <c r="F11" s="3">
        <f t="shared" si="0"/>
        <v>42.5</v>
      </c>
      <c r="G11" s="3">
        <f>[1]fréquence!F13*D11/24</f>
        <v>28.333333333333332</v>
      </c>
      <c r="H11">
        <v>156</v>
      </c>
    </row>
    <row r="12" spans="1:8">
      <c r="A12" t="s">
        <v>18</v>
      </c>
      <c r="B12">
        <v>10</v>
      </c>
      <c r="C12" t="s">
        <v>243</v>
      </c>
      <c r="D12">
        <v>120</v>
      </c>
      <c r="E12" s="3">
        <v>1</v>
      </c>
      <c r="F12" s="3">
        <f t="shared" si="0"/>
        <v>120</v>
      </c>
      <c r="G12" s="3">
        <f>[1]fréquence!F14*D12/24</f>
        <v>40</v>
      </c>
      <c r="H12">
        <v>123</v>
      </c>
    </row>
    <row r="13" spans="1:8">
      <c r="A13" t="s">
        <v>18</v>
      </c>
      <c r="B13">
        <v>11</v>
      </c>
      <c r="C13" t="s">
        <v>242</v>
      </c>
      <c r="D13">
        <v>440</v>
      </c>
      <c r="E13" s="3">
        <v>8</v>
      </c>
      <c r="F13" s="3">
        <f t="shared" si="0"/>
        <v>55</v>
      </c>
      <c r="G13" s="3">
        <f>[1]fréquence!F15*D13/24</f>
        <v>36.666666666666664</v>
      </c>
      <c r="H13">
        <v>205</v>
      </c>
    </row>
    <row r="14" spans="1:8">
      <c r="A14" t="s">
        <v>21</v>
      </c>
      <c r="B14">
        <v>12</v>
      </c>
      <c r="C14" t="s">
        <v>241</v>
      </c>
      <c r="D14">
        <v>180</v>
      </c>
      <c r="E14" s="3">
        <v>1</v>
      </c>
      <c r="F14" s="3">
        <f t="shared" si="0"/>
        <v>180</v>
      </c>
      <c r="G14" s="3">
        <f>[1]fréquence!F16*D14/24</f>
        <v>60</v>
      </c>
      <c r="H14">
        <v>155</v>
      </c>
    </row>
    <row r="15" spans="1:8">
      <c r="A15" t="s">
        <v>21</v>
      </c>
      <c r="B15">
        <v>13</v>
      </c>
      <c r="C15" t="s">
        <v>240</v>
      </c>
      <c r="D15">
        <v>560</v>
      </c>
      <c r="E15" s="3">
        <v>8</v>
      </c>
      <c r="F15" s="3">
        <f t="shared" si="0"/>
        <v>70</v>
      </c>
      <c r="G15" s="3">
        <f>[1]fréquence!F17*D15/24</f>
        <v>46.666666666666664</v>
      </c>
      <c r="H15">
        <v>207</v>
      </c>
    </row>
    <row r="16" spans="1:8">
      <c r="A16" t="s">
        <v>21</v>
      </c>
      <c r="B16">
        <v>14</v>
      </c>
      <c r="C16" t="s">
        <v>239</v>
      </c>
      <c r="D16">
        <v>1350</v>
      </c>
      <c r="E16" s="3">
        <v>24</v>
      </c>
      <c r="F16" s="3">
        <f t="shared" si="0"/>
        <v>56.25</v>
      </c>
      <c r="G16" s="3">
        <f>[1]fréquence!F18*D16/24</f>
        <v>56.25</v>
      </c>
      <c r="H16">
        <v>259</v>
      </c>
    </row>
    <row r="18" spans="7:7">
      <c r="G18" s="200"/>
    </row>
    <row r="19" spans="7:7">
      <c r="G19" s="201"/>
    </row>
    <row r="20" spans="7:7">
      <c r="G20" s="201"/>
    </row>
    <row r="21" spans="7:7">
      <c r="G21" s="201"/>
    </row>
    <row r="22" spans="7:7">
      <c r="G22" s="201"/>
    </row>
    <row r="23" spans="7:7">
      <c r="G23" s="201"/>
    </row>
    <row r="24" spans="7:7">
      <c r="G24" s="201"/>
    </row>
    <row r="25" spans="7:7">
      <c r="G25" s="201"/>
    </row>
    <row r="26" spans="7:7">
      <c r="G26" s="201"/>
    </row>
    <row r="27" spans="7:7">
      <c r="G27" s="201"/>
    </row>
    <row r="28" spans="7:7">
      <c r="G28" s="201"/>
    </row>
    <row r="29" spans="7:7">
      <c r="G29" s="201"/>
    </row>
    <row r="30" spans="7:7">
      <c r="G30" s="201"/>
    </row>
    <row r="31" spans="7:7">
      <c r="G31" s="201"/>
    </row>
    <row r="32" spans="7:7">
      <c r="G32" s="201"/>
    </row>
    <row r="33" spans="7:7">
      <c r="G33" s="201"/>
    </row>
  </sheetData>
  <conditionalFormatting sqref="G19:G33">
    <cfRule type="iconSet" priority="5">
      <iconSet iconSet="4TrafficLights">
        <cfvo type="percent" val="0"/>
        <cfvo type="percent" val="25"/>
        <cfvo type="percent" val="50"/>
        <cfvo type="percent" val="75"/>
      </iconSet>
    </cfRule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:G16">
    <cfRule type="dataBar" priority="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{AEFBBC93-4FE8-0B4A-96BA-E43B89D0BBD7}</x14:id>
        </ext>
      </extLst>
    </cfRule>
  </conditionalFormatting>
  <conditionalFormatting sqref="H2:H16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{CCF2C64A-3FA7-4044-A9A4-3B149DBC208F}</x14:id>
        </ext>
      </extLst>
    </cfRule>
  </conditionalFormatting>
  <conditionalFormatting sqref="G2:G16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{D4DF8B2F-9D01-C44C-9811-A84A0B46157F}</x14:id>
        </ext>
      </extLst>
    </cfRule>
  </conditionalFormatting>
  <conditionalFormatting sqref="F2:F16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{E3E4ECCE-F534-984F-87CC-16371725D442}</x14:id>
        </ext>
      </extLst>
    </cfRule>
  </conditionalFormatting>
  <pageMargins left="0.75" right="0.75" top="1" bottom="1" header="0.5" footer="0.5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EFBBC93-4FE8-0B4A-96BA-E43B89D0BBD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F2:G16</xm:sqref>
        </x14:conditionalFormatting>
        <x14:conditionalFormatting xmlns:xm="http://schemas.microsoft.com/office/excel/2006/main">
          <x14:cfRule type="dataBar" id="{CCF2C64A-3FA7-4044-A9A4-3B149DBC208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H2:H16</xm:sqref>
        </x14:conditionalFormatting>
        <x14:conditionalFormatting xmlns:xm="http://schemas.microsoft.com/office/excel/2006/main">
          <x14:cfRule type="dataBar" id="{D4DF8B2F-9D01-C44C-9811-A84A0B46157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G2:G16</xm:sqref>
        </x14:conditionalFormatting>
        <x14:conditionalFormatting xmlns:xm="http://schemas.microsoft.com/office/excel/2006/main">
          <x14:cfRule type="dataBar" id="{E3E4ECCE-F534-984F-87CC-16371725D44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F2:F16</xm:sqref>
        </x14:conditionalFormatting>
      </x14:conditionalFormattings>
    </ex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F34" sqref="F34"/>
    </sheetView>
  </sheetViews>
  <sheetFormatPr baseColWidth="10" defaultRowHeight="14" x14ac:dyDescent="0"/>
  <cols>
    <col min="1" max="1" width="20.33203125" bestFit="1" customWidth="1"/>
    <col min="2" max="2" width="12.5" bestFit="1" customWidth="1"/>
    <col min="3" max="3" width="25.5" bestFit="1" customWidth="1"/>
    <col min="4" max="5" width="16" bestFit="1" customWidth="1"/>
    <col min="6" max="6" width="14.1640625" bestFit="1" customWidth="1"/>
  </cols>
  <sheetData>
    <row r="1" spans="1:6" ht="28">
      <c r="A1" s="110" t="s">
        <v>0</v>
      </c>
      <c r="B1" s="110" t="s">
        <v>1</v>
      </c>
      <c r="C1" s="110" t="s">
        <v>2</v>
      </c>
      <c r="D1" s="1" t="s">
        <v>264</v>
      </c>
      <c r="E1" s="1" t="s">
        <v>265</v>
      </c>
      <c r="F1" s="110" t="s">
        <v>34</v>
      </c>
    </row>
    <row r="2" spans="1:6">
      <c r="A2" t="s">
        <v>3</v>
      </c>
      <c r="B2">
        <v>0</v>
      </c>
      <c r="C2" t="s">
        <v>255</v>
      </c>
      <c r="D2" s="201" t="e">
        <f>[1]général!G2/MAX([1]!Tableau1[Récolte réelle approchée par heure])</f>
        <v>#REF!</v>
      </c>
      <c r="E2" s="201">
        <f>[1]général!H2/MAX([1]général!$H$2:$H$16)</f>
        <v>5.4054054054054057E-2</v>
      </c>
      <c r="F2" s="201" t="e">
        <f t="shared" ref="F2:F16" si="0">AVERAGE(D2,E2)</f>
        <v>#REF!</v>
      </c>
    </row>
    <row r="3" spans="1:6">
      <c r="A3" t="s">
        <v>5</v>
      </c>
      <c r="B3">
        <v>1</v>
      </c>
      <c r="C3" t="s">
        <v>254</v>
      </c>
      <c r="D3" s="201" t="e">
        <f>[1]général!G3/MAX([1]!Tableau1[Récolte réelle approchée par heure])</f>
        <v>#REF!</v>
      </c>
      <c r="E3" s="201">
        <f>[1]général!H3/MAX([1]général!$H$2:$H$16)</f>
        <v>8.4942084942084939E-2</v>
      </c>
      <c r="F3" s="201" t="e">
        <f t="shared" si="0"/>
        <v>#REF!</v>
      </c>
    </row>
    <row r="4" spans="1:6">
      <c r="A4" t="s">
        <v>5</v>
      </c>
      <c r="B4">
        <v>2</v>
      </c>
      <c r="C4" t="s">
        <v>253</v>
      </c>
      <c r="D4" s="201" t="e">
        <f>[1]général!G4/MAX([1]!Tableau1[Récolte réelle approchée par heure])</f>
        <v>#REF!</v>
      </c>
      <c r="E4" s="201">
        <f>[1]général!H4/MAX([1]général!$H$2:$H$16)</f>
        <v>0.12355212355212356</v>
      </c>
      <c r="F4" s="201" t="e">
        <f t="shared" si="0"/>
        <v>#REF!</v>
      </c>
    </row>
    <row r="5" spans="1:6">
      <c r="A5" t="s">
        <v>5</v>
      </c>
      <c r="B5">
        <v>3</v>
      </c>
      <c r="C5" t="s">
        <v>252</v>
      </c>
      <c r="D5" s="201" t="e">
        <f>[1]général!G5/MAX([1]!Tableau1[Récolte réelle approchée par heure])</f>
        <v>#REF!</v>
      </c>
      <c r="E5" s="201">
        <f>[1]général!H5/MAX([1]général!$H$2:$H$16)</f>
        <v>0.10424710424710425</v>
      </c>
      <c r="F5" s="201" t="e">
        <f t="shared" si="0"/>
        <v>#REF!</v>
      </c>
    </row>
    <row r="6" spans="1:6">
      <c r="A6" t="s">
        <v>9</v>
      </c>
      <c r="B6">
        <v>4</v>
      </c>
      <c r="C6" t="s">
        <v>251</v>
      </c>
      <c r="D6" s="201" t="e">
        <f>[1]général!G6/MAX([1]!Tableau1[Récolte réelle approchée par heure])</f>
        <v>#REF!</v>
      </c>
      <c r="E6" s="201">
        <f>[1]général!H6/MAX([1]général!$H$2:$H$16)</f>
        <v>0.16988416988416988</v>
      </c>
      <c r="F6" s="201" t="e">
        <f t="shared" si="0"/>
        <v>#REF!</v>
      </c>
    </row>
    <row r="7" spans="1:6">
      <c r="A7" t="s">
        <v>9</v>
      </c>
      <c r="B7">
        <v>5</v>
      </c>
      <c r="C7" t="s">
        <v>250</v>
      </c>
      <c r="D7" s="201" t="e">
        <f>[1]général!G7/MAX([1]!Tableau1[Récolte réelle approchée par heure])</f>
        <v>#REF!</v>
      </c>
      <c r="E7" s="201">
        <f>[1]général!H7/MAX([1]général!$H$2:$H$16)</f>
        <v>0.28185328185328185</v>
      </c>
      <c r="F7" s="201" t="e">
        <f t="shared" si="0"/>
        <v>#REF!</v>
      </c>
    </row>
    <row r="8" spans="1:6">
      <c r="A8" t="s">
        <v>248</v>
      </c>
      <c r="B8">
        <v>6</v>
      </c>
      <c r="C8" t="s">
        <v>249</v>
      </c>
      <c r="D8" s="201" t="e">
        <f>[1]général!G8/MAX([1]!Tableau1[Récolte réelle approchée par heure])</f>
        <v>#REF!</v>
      </c>
      <c r="E8" s="201">
        <f>[1]général!H8/MAX([1]général!$H$2:$H$16)</f>
        <v>0.25868725868725867</v>
      </c>
      <c r="F8" s="201" t="e">
        <f t="shared" si="0"/>
        <v>#REF!</v>
      </c>
    </row>
    <row r="9" spans="1:6">
      <c r="A9" t="s">
        <v>248</v>
      </c>
      <c r="B9">
        <v>7</v>
      </c>
      <c r="C9" t="s">
        <v>247</v>
      </c>
      <c r="D9" s="201" t="e">
        <f>[1]général!G9/MAX([1]!Tableau1[Récolte réelle approchée par heure])</f>
        <v>#REF!</v>
      </c>
      <c r="E9" s="201">
        <f>[1]général!H9/MAX([1]général!$H$2:$H$16)</f>
        <v>0.42857142857142855</v>
      </c>
      <c r="F9" s="201" t="e">
        <f t="shared" si="0"/>
        <v>#REF!</v>
      </c>
    </row>
    <row r="10" spans="1:6">
      <c r="A10" t="s">
        <v>245</v>
      </c>
      <c r="B10">
        <v>8</v>
      </c>
      <c r="C10" t="s">
        <v>246</v>
      </c>
      <c r="D10" s="201" t="e">
        <f>[1]général!G10/MAX([1]!Tableau1[Récolte réelle approchée par heure])</f>
        <v>#REF!</v>
      </c>
      <c r="E10" s="201">
        <f>[1]général!H10/MAX([1]général!$H$2:$H$16)</f>
        <v>0.36293436293436293</v>
      </c>
      <c r="F10" s="201" t="e">
        <f t="shared" si="0"/>
        <v>#REF!</v>
      </c>
    </row>
    <row r="11" spans="1:6">
      <c r="A11" t="s">
        <v>245</v>
      </c>
      <c r="B11">
        <v>9</v>
      </c>
      <c r="C11" t="s">
        <v>244</v>
      </c>
      <c r="D11" s="201" t="e">
        <f>[1]général!G11/MAX([1]!Tableau1[Récolte réelle approchée par heure])</f>
        <v>#REF!</v>
      </c>
      <c r="E11" s="201">
        <f>[1]général!H11/MAX([1]général!$H$2:$H$16)</f>
        <v>0.60231660231660233</v>
      </c>
      <c r="F11" s="201" t="e">
        <f t="shared" si="0"/>
        <v>#REF!</v>
      </c>
    </row>
    <row r="12" spans="1:6">
      <c r="A12" t="s">
        <v>18</v>
      </c>
      <c r="B12">
        <v>10</v>
      </c>
      <c r="C12" t="s">
        <v>243</v>
      </c>
      <c r="D12" s="201" t="e">
        <f>[1]général!G12/MAX([1]!Tableau1[Récolte réelle approchée par heure])</f>
        <v>#REF!</v>
      </c>
      <c r="E12" s="201">
        <f>[1]général!H12/MAX([1]général!$H$2:$H$16)</f>
        <v>0.4749034749034749</v>
      </c>
      <c r="F12" s="201" t="e">
        <f t="shared" si="0"/>
        <v>#REF!</v>
      </c>
    </row>
    <row r="13" spans="1:6">
      <c r="A13" t="s">
        <v>18</v>
      </c>
      <c r="B13">
        <v>11</v>
      </c>
      <c r="C13" t="s">
        <v>242</v>
      </c>
      <c r="D13" s="201" t="e">
        <f>[1]général!G13/MAX([1]!Tableau1[Récolte réelle approchée par heure])</f>
        <v>#REF!</v>
      </c>
      <c r="E13" s="201">
        <f>[1]général!H13/MAX([1]général!$H$2:$H$16)</f>
        <v>0.79150579150579148</v>
      </c>
      <c r="F13" s="201" t="e">
        <f t="shared" si="0"/>
        <v>#REF!</v>
      </c>
    </row>
    <row r="14" spans="1:6">
      <c r="A14" t="s">
        <v>21</v>
      </c>
      <c r="B14">
        <v>12</v>
      </c>
      <c r="C14" t="s">
        <v>241</v>
      </c>
      <c r="D14" s="201" t="e">
        <f>[1]général!G14/MAX([1]!Tableau1[Récolte réelle approchée par heure])</f>
        <v>#REF!</v>
      </c>
      <c r="E14" s="201">
        <f>[1]général!H14/MAX([1]général!$H$2:$H$16)</f>
        <v>0.59845559845559848</v>
      </c>
      <c r="F14" s="201" t="e">
        <f t="shared" si="0"/>
        <v>#REF!</v>
      </c>
    </row>
    <row r="15" spans="1:6">
      <c r="A15" t="s">
        <v>21</v>
      </c>
      <c r="B15">
        <v>13</v>
      </c>
      <c r="C15" t="s">
        <v>240</v>
      </c>
      <c r="D15" s="201" t="e">
        <f>[1]général!G15/MAX([1]!Tableau1[Récolte réelle approchée par heure])</f>
        <v>#REF!</v>
      </c>
      <c r="E15" s="201">
        <f>[1]général!H15/MAX([1]général!$H$2:$H$16)</f>
        <v>0.79922779922779918</v>
      </c>
      <c r="F15" s="201" t="e">
        <f t="shared" si="0"/>
        <v>#REF!</v>
      </c>
    </row>
    <row r="16" spans="1:6">
      <c r="A16" t="s">
        <v>21</v>
      </c>
      <c r="B16">
        <v>14</v>
      </c>
      <c r="C16" t="s">
        <v>239</v>
      </c>
      <c r="D16" s="201" t="e">
        <f>[1]général!G16/MAX([1]!Tableau1[Récolte réelle approchée par heure])</f>
        <v>#REF!</v>
      </c>
      <c r="E16" s="201">
        <f>[1]général!H16/MAX([1]général!$H$2:$H$16)</f>
        <v>1</v>
      </c>
      <c r="F16" s="201" t="e">
        <f t="shared" si="0"/>
        <v>#REF!</v>
      </c>
    </row>
  </sheetData>
  <conditionalFormatting sqref="F2:F16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:E16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{E3E5788F-C881-2F4D-85D2-760EBCE9F623}</x14:id>
        </ext>
      </extLst>
    </cfRule>
  </conditionalFormatting>
  <pageMargins left="0.75" right="0.75" top="1" bottom="1" header="0.5" footer="0.5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3E5788F-C881-2F4D-85D2-760EBCE9F62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D2:E16</xm:sqref>
        </x14:conditionalFormatting>
      </x14:conditionalFormattings>
    </ex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l'arbre des technologies</vt:lpstr>
      <vt:lpstr>Ressources</vt:lpstr>
      <vt:lpstr>Batiments Marchandises</vt:lpstr>
      <vt:lpstr>ajustement</vt:lpstr>
      <vt:lpstr>ratios,rendements</vt:lpstr>
      <vt:lpstr>bonheur routes</vt:lpstr>
      <vt:lpstr>fréquence</vt:lpstr>
      <vt:lpstr>général</vt:lpstr>
      <vt:lpstr>rendement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gaetan</dc:creator>
  <cp:lastModifiedBy>Nicolas MAGES</cp:lastModifiedBy>
  <dcterms:created xsi:type="dcterms:W3CDTF">2012-11-22T13:43:38Z</dcterms:created>
  <dcterms:modified xsi:type="dcterms:W3CDTF">2013-03-16T19:11:30Z</dcterms:modified>
</cp:coreProperties>
</file>