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4850" windowHeight="8040"/>
  </bookViews>
  <sheets>
    <sheet name="Feuil1" sheetId="2" r:id="rId1"/>
  </sheets>
  <calcPr calcId="124519"/>
</workbook>
</file>

<file path=xl/calcChain.xml><?xml version="1.0" encoding="utf-8"?>
<calcChain xmlns="http://schemas.openxmlformats.org/spreadsheetml/2006/main">
  <c r="D5" i="2"/>
  <c r="F5"/>
  <c r="H5"/>
  <c r="J5"/>
  <c r="D7"/>
  <c r="F7"/>
  <c r="H7"/>
  <c r="J7"/>
  <c r="D9"/>
  <c r="F9"/>
  <c r="H9"/>
  <c r="J9"/>
  <c r="AA10"/>
  <c r="AG11" s="1"/>
  <c r="AB10"/>
  <c r="AD10"/>
  <c r="AF10" s="1"/>
  <c r="D11"/>
  <c r="F11"/>
  <c r="H11"/>
  <c r="J11"/>
  <c r="D13"/>
  <c r="F13"/>
  <c r="H13"/>
  <c r="J13"/>
  <c r="D15"/>
  <c r="F15"/>
  <c r="H15"/>
  <c r="J15"/>
  <c r="D17"/>
  <c r="F17"/>
  <c r="H17"/>
  <c r="J17"/>
  <c r="D19"/>
  <c r="F19"/>
  <c r="H19"/>
  <c r="J19"/>
  <c r="D21"/>
  <c r="F21"/>
  <c r="H21"/>
  <c r="J21"/>
  <c r="D23"/>
  <c r="F23"/>
  <c r="H23"/>
  <c r="J23"/>
  <c r="D25"/>
  <c r="F25"/>
  <c r="H25"/>
  <c r="J25"/>
  <c r="D27"/>
  <c r="F27"/>
  <c r="H27"/>
  <c r="J27"/>
  <c r="D29"/>
  <c r="F29"/>
  <c r="H29"/>
  <c r="J29"/>
  <c r="D31"/>
  <c r="F31"/>
  <c r="H31"/>
  <c r="J31"/>
  <c r="D33"/>
  <c r="F33"/>
  <c r="H33"/>
  <c r="J33"/>
  <c r="D35"/>
  <c r="F35"/>
  <c r="H35"/>
  <c r="J35"/>
  <c r="D37"/>
  <c r="F37"/>
  <c r="H37"/>
  <c r="J37"/>
  <c r="D39"/>
  <c r="F39"/>
  <c r="H39"/>
  <c r="J39"/>
  <c r="D41"/>
  <c r="F41"/>
  <c r="H41"/>
  <c r="J41"/>
  <c r="D43"/>
  <c r="F43"/>
  <c r="H43"/>
  <c r="J43"/>
  <c r="AG10" l="1"/>
  <c r="V13" s="1"/>
  <c r="R13"/>
  <c r="B18" s="1"/>
  <c r="L23"/>
  <c r="L37"/>
  <c r="B32"/>
  <c r="B40"/>
  <c r="B24"/>
  <c r="B12"/>
  <c r="B6"/>
  <c r="B4"/>
  <c r="B14"/>
  <c r="L22"/>
  <c r="AG13"/>
  <c r="L33"/>
  <c r="B36"/>
  <c r="B26"/>
  <c r="L20"/>
  <c r="L16"/>
  <c r="L15"/>
  <c r="L28"/>
  <c r="L34"/>
  <c r="L40"/>
  <c r="B22"/>
  <c r="L27"/>
  <c r="L35"/>
  <c r="L42"/>
  <c r="B28"/>
  <c r="B20"/>
  <c r="L13"/>
  <c r="L5"/>
  <c r="L8"/>
  <c r="B10"/>
  <c r="L6"/>
  <c r="L11"/>
  <c r="L17"/>
  <c r="L21"/>
  <c r="L25"/>
  <c r="L29"/>
  <c r="L41"/>
  <c r="L36"/>
  <c r="B30"/>
  <c r="L24"/>
  <c r="B42"/>
  <c r="L39"/>
  <c r="L31"/>
  <c r="L14"/>
  <c r="B34" l="1"/>
  <c r="L19"/>
  <c r="L38"/>
  <c r="L26"/>
  <c r="L18"/>
  <c r="L9"/>
  <c r="L7"/>
  <c r="B8"/>
  <c r="B16"/>
  <c r="L30"/>
  <c r="B38"/>
  <c r="L43"/>
  <c r="L32"/>
  <c r="F10"/>
  <c r="D10"/>
  <c r="J10"/>
  <c r="H10"/>
  <c r="L10" s="1"/>
  <c r="J28"/>
  <c r="H28"/>
  <c r="F28"/>
  <c r="D28"/>
  <c r="H22"/>
  <c r="D22"/>
  <c r="J22"/>
  <c r="F22"/>
  <c r="H42"/>
  <c r="J42"/>
  <c r="F42"/>
  <c r="D42"/>
  <c r="H30"/>
  <c r="J30"/>
  <c r="F30"/>
  <c r="D30"/>
  <c r="H20"/>
  <c r="J20"/>
  <c r="D20"/>
  <c r="F20"/>
  <c r="J26"/>
  <c r="H26"/>
  <c r="D26"/>
  <c r="F26"/>
  <c r="F36"/>
  <c r="J36"/>
  <c r="D36"/>
  <c r="H36"/>
  <c r="J14"/>
  <c r="D14"/>
  <c r="F14"/>
  <c r="H14"/>
  <c r="D4"/>
  <c r="F4"/>
  <c r="H4"/>
  <c r="J4"/>
  <c r="J6"/>
  <c r="H6"/>
  <c r="F6"/>
  <c r="D6"/>
  <c r="D8"/>
  <c r="F8"/>
  <c r="H8"/>
  <c r="J8"/>
  <c r="D16"/>
  <c r="F16"/>
  <c r="H16"/>
  <c r="J16"/>
  <c r="F38"/>
  <c r="H38"/>
  <c r="D38"/>
  <c r="J38"/>
  <c r="J18"/>
  <c r="H18"/>
  <c r="D18"/>
  <c r="F18"/>
  <c r="J34"/>
  <c r="D34"/>
  <c r="F34"/>
  <c r="H34"/>
  <c r="H12"/>
  <c r="J12"/>
  <c r="D12"/>
  <c r="F12"/>
  <c r="H24"/>
  <c r="J24"/>
  <c r="D24"/>
  <c r="F24"/>
  <c r="D40"/>
  <c r="F40"/>
  <c r="H40"/>
  <c r="J40"/>
  <c r="D32"/>
  <c r="F32"/>
  <c r="H32"/>
  <c r="J32"/>
  <c r="L12" l="1"/>
  <c r="L4"/>
  <c r="T18" s="1"/>
  <c r="S27" s="1"/>
  <c r="AF18" l="1"/>
  <c r="AF27" s="1"/>
</calcChain>
</file>

<file path=xl/sharedStrings.xml><?xml version="1.0" encoding="utf-8"?>
<sst xmlns="http://schemas.openxmlformats.org/spreadsheetml/2006/main" count="60" uniqueCount="21">
  <si>
    <t>VALEUR NEUVE</t>
  </si>
  <si>
    <t>AGE</t>
  </si>
  <si>
    <t>VV   Cot1</t>
  </si>
  <si>
    <t>VV  Cot2</t>
  </si>
  <si>
    <t>VV  Cot3</t>
  </si>
  <si>
    <t>VV  Cot4</t>
  </si>
  <si>
    <t>AJOUTER LE TAUX  SUIVANT L'ETAT</t>
  </si>
  <si>
    <t>Minimum = -20%   Maximum = +20%</t>
  </si>
  <si>
    <t xml:space="preserve">VALEUR VENALE </t>
  </si>
  <si>
    <t>Mois</t>
  </si>
  <si>
    <t>AGE ARRONDI A 15J</t>
  </si>
  <si>
    <t>DATE DE 1ere M.C.</t>
  </si>
  <si>
    <t>ans</t>
  </si>
  <si>
    <t>mois</t>
  </si>
  <si>
    <t>Années</t>
  </si>
  <si>
    <t>COTATION</t>
  </si>
  <si>
    <t xml:space="preserve"> VALEUR  CALCULEE  </t>
  </si>
  <si>
    <t>DATE DE CALCUL..</t>
  </si>
  <si>
    <t xml:space="preserve"> </t>
  </si>
  <si>
    <t>UTILITAIRE</t>
  </si>
  <si>
    <r>
      <t xml:space="preserve">CALCUL  DE  LA  VALEUR  VENALE  -  A L'ETUDE (2008)  </t>
    </r>
    <r>
      <rPr>
        <b/>
        <sz val="14"/>
        <color indexed="53"/>
        <rFont val="Arial"/>
        <family val="2"/>
      </rPr>
      <t>06/09</t>
    </r>
    <r>
      <rPr>
        <b/>
        <sz val="14"/>
        <rFont val="Arial"/>
        <family val="2"/>
      </rPr>
      <t xml:space="preserve">   MOHAMED  EL HADRI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</si>
</sst>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53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48"/>
      <name val="Arial"/>
    </font>
    <font>
      <b/>
      <sz val="10"/>
      <color indexed="48"/>
      <name val="Arial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9"/>
      <color indexed="12"/>
      <name val="Arial"/>
    </font>
    <font>
      <sz val="9"/>
      <name val="Arial"/>
    </font>
    <font>
      <b/>
      <sz val="10"/>
      <color indexed="57"/>
      <name val="Arial"/>
      <family val="2"/>
    </font>
    <font>
      <b/>
      <sz val="10"/>
      <color indexed="18"/>
      <name val="Arial"/>
      <family val="2"/>
    </font>
    <font>
      <sz val="14"/>
      <color indexed="12"/>
      <name val="Arial"/>
      <family val="2"/>
    </font>
    <font>
      <sz val="10"/>
      <color indexed="21"/>
      <name val="Arial"/>
    </font>
    <font>
      <b/>
      <sz val="10"/>
      <color indexed="21"/>
      <name val="Arial"/>
      <family val="2"/>
    </font>
    <font>
      <b/>
      <sz val="9"/>
      <name val="Arial"/>
      <family val="2"/>
    </font>
    <font>
      <b/>
      <sz val="9"/>
      <color indexed="21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sz val="9"/>
      <name val="Arial"/>
    </font>
    <font>
      <b/>
      <sz val="9"/>
      <color indexed="21"/>
      <name val="Arial"/>
    </font>
    <font>
      <sz val="10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4"/>
      <color indexed="10"/>
      <name val="Arial"/>
    </font>
    <font>
      <sz val="10"/>
      <color indexed="48"/>
      <name val="Arial"/>
      <family val="2"/>
    </font>
    <font>
      <sz val="10"/>
      <color indexed="12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b/>
      <sz val="11"/>
      <color indexed="48"/>
      <name val="Arial"/>
      <family val="2"/>
    </font>
    <font>
      <b/>
      <sz val="11"/>
      <name val="Arial"/>
      <family val="2"/>
    </font>
    <font>
      <sz val="12"/>
      <color indexed="18"/>
      <name val="Arial"/>
      <family val="2"/>
    </font>
    <font>
      <b/>
      <sz val="20"/>
      <color indexed="14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b/>
      <sz val="12"/>
      <color indexed="14"/>
      <name val="Arial"/>
      <family val="2"/>
    </font>
    <font>
      <sz val="12"/>
      <color indexed="14"/>
      <name val="Arial"/>
      <family val="2"/>
    </font>
    <font>
      <b/>
      <sz val="24"/>
      <color indexed="14"/>
      <name val="Arial"/>
      <family val="2"/>
    </font>
    <font>
      <sz val="24"/>
      <color indexed="14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sz val="13"/>
      <color indexed="12"/>
      <name val="Arial"/>
      <family val="2"/>
    </font>
    <font>
      <b/>
      <sz val="14"/>
      <color indexed="40"/>
      <name val="Arial"/>
      <family val="2"/>
    </font>
    <font>
      <sz val="10"/>
      <color indexed="9"/>
      <name val="Arial"/>
    </font>
    <font>
      <sz val="10"/>
      <color indexed="9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b/>
      <sz val="14"/>
      <color indexed="5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0" fillId="0" borderId="0" xfId="0" applyFont="1" applyAlignment="1" applyProtection="1">
      <alignment horizontal="center" vertical="center"/>
    </xf>
    <xf numFmtId="0" fontId="0" fillId="0" borderId="0" xfId="0" applyProtection="1"/>
    <xf numFmtId="0" fontId="22" fillId="0" borderId="0" xfId="0" applyFont="1" applyProtection="1"/>
    <xf numFmtId="0" fontId="0" fillId="0" borderId="0" xfId="0" applyAlignment="1" applyProtection="1"/>
    <xf numFmtId="164" fontId="0" fillId="0" borderId="0" xfId="0" applyNumberFormat="1" applyProtection="1"/>
    <xf numFmtId="2" fontId="1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/>
    <xf numFmtId="0" fontId="3" fillId="0" borderId="0" xfId="0" applyFont="1" applyProtection="1"/>
    <xf numFmtId="0" fontId="18" fillId="0" borderId="0" xfId="0" applyFont="1" applyProtection="1"/>
    <xf numFmtId="164" fontId="3" fillId="0" borderId="0" xfId="0" applyNumberFormat="1" applyFont="1" applyProtection="1"/>
    <xf numFmtId="2" fontId="23" fillId="0" borderId="0" xfId="0" applyNumberFormat="1" applyFont="1" applyProtection="1"/>
    <xf numFmtId="0" fontId="23" fillId="0" borderId="0" xfId="0" applyFont="1" applyProtection="1"/>
    <xf numFmtId="164" fontId="3" fillId="1" borderId="0" xfId="0" applyNumberFormat="1" applyFont="1" applyFill="1" applyProtection="1"/>
    <xf numFmtId="164" fontId="14" fillId="0" borderId="0" xfId="0" applyNumberFormat="1" applyFont="1" applyAlignment="1" applyProtection="1">
      <alignment horizontal="center"/>
    </xf>
    <xf numFmtId="0" fontId="25" fillId="0" borderId="0" xfId="0" applyFont="1" applyAlignment="1" applyProtection="1"/>
    <xf numFmtId="0" fontId="16" fillId="0" borderId="0" xfId="0" applyFont="1" applyProtection="1"/>
    <xf numFmtId="0" fontId="17" fillId="0" borderId="0" xfId="0" applyFont="1" applyProtection="1"/>
    <xf numFmtId="0" fontId="19" fillId="0" borderId="0" xfId="0" applyFont="1" applyProtection="1"/>
    <xf numFmtId="164" fontId="17" fillId="0" borderId="0" xfId="0" applyNumberFormat="1" applyFont="1" applyProtection="1"/>
    <xf numFmtId="2" fontId="24" fillId="0" borderId="0" xfId="0" applyNumberFormat="1" applyFont="1" applyProtection="1"/>
    <xf numFmtId="0" fontId="24" fillId="0" borderId="0" xfId="0" applyFont="1" applyProtection="1"/>
    <xf numFmtId="164" fontId="13" fillId="1" borderId="0" xfId="0" applyNumberFormat="1" applyFont="1" applyFill="1" applyProtection="1"/>
    <xf numFmtId="0" fontId="4" fillId="0" borderId="0" xfId="0" applyFont="1" applyProtection="1"/>
    <xf numFmtId="0" fontId="5" fillId="0" borderId="0" xfId="0" applyFont="1" applyProtection="1"/>
    <xf numFmtId="0" fontId="20" fillId="0" borderId="0" xfId="0" applyFont="1" applyProtection="1"/>
    <xf numFmtId="164" fontId="5" fillId="0" borderId="0" xfId="0" applyNumberFormat="1" applyFont="1" applyProtection="1"/>
    <xf numFmtId="0" fontId="11" fillId="0" borderId="0" xfId="0" applyFont="1" applyProtection="1"/>
    <xf numFmtId="0" fontId="21" fillId="0" borderId="0" xfId="0" applyFont="1" applyProtection="1"/>
    <xf numFmtId="164" fontId="1" fillId="1" borderId="0" xfId="0" applyNumberFormat="1" applyFont="1" applyFill="1" applyProtection="1"/>
    <xf numFmtId="0" fontId="27" fillId="0" borderId="0" xfId="0" applyFont="1" applyProtection="1"/>
    <xf numFmtId="164" fontId="0" fillId="0" borderId="0" xfId="0" applyNumberFormat="1" applyAlignment="1" applyProtection="1"/>
    <xf numFmtId="164" fontId="26" fillId="0" borderId="0" xfId="0" applyNumberFormat="1" applyFont="1" applyAlignment="1" applyProtection="1"/>
    <xf numFmtId="164" fontId="7" fillId="0" borderId="0" xfId="0" applyNumberFormat="1" applyFont="1" applyAlignment="1" applyProtection="1"/>
    <xf numFmtId="164" fontId="8" fillId="0" borderId="0" xfId="0" applyNumberFormat="1" applyFont="1" applyAlignment="1" applyProtection="1"/>
    <xf numFmtId="164" fontId="4" fillId="0" borderId="0" xfId="0" applyNumberFormat="1" applyFont="1" applyAlignment="1" applyProtection="1">
      <alignment horizontal="center"/>
    </xf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28" fillId="0" borderId="0" xfId="0" applyFont="1" applyAlignment="1" applyProtection="1"/>
    <xf numFmtId="0" fontId="32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5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40" fillId="0" borderId="1" xfId="0" applyFont="1" applyBorder="1" applyAlignment="1" applyProtection="1">
      <alignment vertical="center"/>
      <protection locked="0"/>
    </xf>
    <xf numFmtId="0" fontId="31" fillId="0" borderId="0" xfId="0" applyFont="1" applyProtection="1"/>
    <xf numFmtId="0" fontId="31" fillId="0" borderId="0" xfId="0" applyFont="1"/>
    <xf numFmtId="2" fontId="20" fillId="0" borderId="0" xfId="0" applyNumberFormat="1" applyFont="1" applyProtection="1"/>
    <xf numFmtId="2" fontId="31" fillId="0" borderId="0" xfId="0" applyNumberFormat="1" applyFont="1"/>
    <xf numFmtId="2" fontId="11" fillId="0" borderId="0" xfId="0" applyNumberFormat="1" applyFont="1" applyProtection="1"/>
    <xf numFmtId="164" fontId="26" fillId="0" borderId="0" xfId="0" applyNumberFormat="1" applyFont="1" applyAlignment="1" applyProtection="1">
      <alignment vertical="center"/>
    </xf>
    <xf numFmtId="164" fontId="0" fillId="0" borderId="0" xfId="0" applyNumberFormat="1" applyAlignment="1"/>
    <xf numFmtId="0" fontId="48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50" fillId="0" borderId="0" xfId="0" applyFont="1" applyProtection="1"/>
    <xf numFmtId="0" fontId="51" fillId="0" borderId="0" xfId="0" applyFont="1" applyProtection="1"/>
    <xf numFmtId="0" fontId="51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0" fillId="0" borderId="0" xfId="0" applyAlignment="1"/>
    <xf numFmtId="0" fontId="45" fillId="0" borderId="0" xfId="0" applyFont="1" applyAlignment="1" applyProtection="1">
      <alignment horizontal="center"/>
    </xf>
    <xf numFmtId="0" fontId="45" fillId="0" borderId="0" xfId="0" applyFont="1" applyAlignment="1" applyProtection="1"/>
    <xf numFmtId="0" fontId="45" fillId="0" borderId="0" xfId="0" applyFont="1" applyAlignment="1"/>
    <xf numFmtId="164" fontId="37" fillId="0" borderId="2" xfId="0" applyNumberFormat="1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protection locked="0"/>
    </xf>
    <xf numFmtId="0" fontId="38" fillId="0" borderId="4" xfId="0" applyFont="1" applyBorder="1" applyAlignment="1" applyProtection="1">
      <protection locked="0"/>
    </xf>
    <xf numFmtId="0" fontId="38" fillId="0" borderId="5" xfId="0" applyFont="1" applyBorder="1" applyAlignment="1" applyProtection="1">
      <protection locked="0"/>
    </xf>
    <xf numFmtId="0" fontId="38" fillId="0" borderId="6" xfId="0" applyFont="1" applyBorder="1" applyAlignment="1" applyProtection="1">
      <protection locked="0"/>
    </xf>
    <xf numFmtId="0" fontId="38" fillId="0" borderId="7" xfId="0" applyFont="1" applyBorder="1" applyAlignment="1" applyProtection="1">
      <protection locked="0"/>
    </xf>
    <xf numFmtId="0" fontId="14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/>
    <xf numFmtId="164" fontId="14" fillId="0" borderId="0" xfId="0" applyNumberFormat="1" applyFont="1" applyAlignment="1" applyProtection="1">
      <alignment horizontal="center"/>
    </xf>
    <xf numFmtId="0" fontId="25" fillId="0" borderId="0" xfId="0" applyFont="1" applyAlignment="1" applyProtection="1"/>
    <xf numFmtId="0" fontId="40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center"/>
    </xf>
    <xf numFmtId="164" fontId="15" fillId="0" borderId="0" xfId="0" applyNumberFormat="1" applyFont="1" applyAlignment="1" applyProtection="1"/>
    <xf numFmtId="0" fontId="31" fillId="0" borderId="0" xfId="0" applyFont="1" applyAlignment="1" applyProtection="1"/>
    <xf numFmtId="164" fontId="31" fillId="0" borderId="0" xfId="0" applyNumberFormat="1" applyFont="1" applyAlignment="1" applyProtection="1"/>
    <xf numFmtId="164" fontId="15" fillId="0" borderId="0" xfId="0" applyNumberFormat="1" applyFont="1" applyAlignment="1" applyProtection="1">
      <alignment horizontal="center"/>
    </xf>
    <xf numFmtId="0" fontId="42" fillId="0" borderId="2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43" fillId="0" borderId="4" xfId="0" applyFont="1" applyBorder="1" applyAlignment="1" applyProtection="1">
      <alignment horizontal="center" vertical="center"/>
      <protection locked="0"/>
    </xf>
    <xf numFmtId="0" fontId="43" fillId="0" borderId="5" xfId="0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1" fontId="15" fillId="0" borderId="0" xfId="0" applyNumberFormat="1" applyFont="1" applyAlignment="1" applyProtection="1"/>
    <xf numFmtId="164" fontId="46" fillId="0" borderId="0" xfId="0" applyNumberFormat="1" applyFont="1" applyAlignment="1" applyProtection="1">
      <alignment horizontal="center"/>
    </xf>
    <xf numFmtId="0" fontId="46" fillId="0" borderId="0" xfId="0" applyFont="1" applyAlignment="1"/>
    <xf numFmtId="0" fontId="3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right"/>
    </xf>
    <xf numFmtId="0" fontId="0" fillId="0" borderId="0" xfId="0" applyAlignment="1">
      <alignment horizontal="right"/>
    </xf>
    <xf numFmtId="0" fontId="32" fillId="0" borderId="0" xfId="0" applyFont="1" applyAlignment="1" applyProtection="1">
      <protection locked="0"/>
    </xf>
    <xf numFmtId="0" fontId="33" fillId="0" borderId="0" xfId="0" applyFont="1" applyAlignment="1" applyProtection="1">
      <protection locked="0"/>
    </xf>
    <xf numFmtId="0" fontId="34" fillId="0" borderId="0" xfId="0" applyFont="1" applyAlignment="1" applyProtection="1">
      <protection locked="0"/>
    </xf>
    <xf numFmtId="0" fontId="35" fillId="0" borderId="0" xfId="0" applyFont="1" applyAlignment="1" applyProtection="1">
      <protection locked="0"/>
    </xf>
    <xf numFmtId="0" fontId="25" fillId="0" borderId="0" xfId="0" applyFont="1" applyAlignment="1" applyProtection="1">
      <alignment horizontal="center"/>
    </xf>
    <xf numFmtId="0" fontId="48" fillId="0" borderId="0" xfId="0" applyFont="1" applyAlignment="1" applyProtection="1"/>
    <xf numFmtId="164" fontId="47" fillId="0" borderId="0" xfId="0" applyNumberFormat="1" applyFont="1" applyAlignment="1" applyProtection="1"/>
    <xf numFmtId="0" fontId="3" fillId="0" borderId="0" xfId="0" applyFont="1" applyAlignment="1" applyProtection="1">
      <alignment horizontal="center"/>
    </xf>
    <xf numFmtId="164" fontId="47" fillId="0" borderId="0" xfId="0" applyNumberFormat="1" applyFont="1" applyAlignment="1"/>
    <xf numFmtId="0" fontId="47" fillId="0" borderId="0" xfId="0" applyFont="1" applyAlignment="1"/>
    <xf numFmtId="164" fontId="39" fillId="0" borderId="0" xfId="0" applyNumberFormat="1" applyFont="1" applyAlignment="1" applyProtection="1">
      <alignment horizontal="center" vertical="top"/>
    </xf>
    <xf numFmtId="0" fontId="38" fillId="0" borderId="0" xfId="0" applyFont="1" applyAlignment="1" applyProtection="1">
      <alignment vertical="top"/>
    </xf>
    <xf numFmtId="164" fontId="26" fillId="0" borderId="0" xfId="0" applyNumberFormat="1" applyFont="1" applyAlignment="1" applyProtection="1">
      <alignment vertical="center"/>
    </xf>
    <xf numFmtId="0" fontId="36" fillId="0" borderId="0" xfId="0" applyFont="1" applyAlignment="1" applyProtection="1">
      <alignment horizontal="center"/>
    </xf>
    <xf numFmtId="164" fontId="29" fillId="0" borderId="0" xfId="0" applyNumberFormat="1" applyFont="1" applyAlignment="1" applyProtection="1">
      <alignment horizontal="center"/>
    </xf>
    <xf numFmtId="9" fontId="42" fillId="0" borderId="2" xfId="0" applyNumberFormat="1" applyFont="1" applyBorder="1" applyAlignment="1" applyProtection="1">
      <alignment horizontal="center" vertical="center"/>
      <protection locked="0"/>
    </xf>
    <xf numFmtId="9" fontId="43" fillId="0" borderId="3" xfId="0" applyNumberFormat="1" applyFont="1" applyBorder="1" applyAlignment="1" applyProtection="1">
      <alignment vertical="center"/>
      <protection locked="0"/>
    </xf>
    <xf numFmtId="0" fontId="43" fillId="0" borderId="4" xfId="0" applyFont="1" applyBorder="1" applyAlignment="1" applyProtection="1">
      <alignment vertical="center"/>
      <protection locked="0"/>
    </xf>
    <xf numFmtId="9" fontId="43" fillId="0" borderId="5" xfId="0" applyNumberFormat="1" applyFont="1" applyBorder="1" applyAlignment="1" applyProtection="1">
      <alignment vertical="center"/>
      <protection locked="0"/>
    </xf>
    <xf numFmtId="9" fontId="43" fillId="0" borderId="6" xfId="0" applyNumberFormat="1" applyFont="1" applyBorder="1" applyAlignment="1" applyProtection="1">
      <alignment vertical="center"/>
      <protection locked="0"/>
    </xf>
    <xf numFmtId="0" fontId="43" fillId="0" borderId="7" xfId="0" applyFont="1" applyBorder="1" applyAlignment="1" applyProtection="1">
      <alignment vertical="center"/>
      <protection locked="0"/>
    </xf>
    <xf numFmtId="164" fontId="31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171450</xdr:colOff>
      <xdr:row>31</xdr:row>
      <xdr:rowOff>38100</xdr:rowOff>
    </xdr:from>
    <xdr:to>
      <xdr:col>30</xdr:col>
      <xdr:colOff>104775</xdr:colOff>
      <xdr:row>38</xdr:row>
      <xdr:rowOff>57150</xdr:rowOff>
    </xdr:to>
    <xdr:pic>
      <xdr:nvPicPr>
        <xdr:cNvPr id="10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05425" y="5210175"/>
          <a:ext cx="22764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285750</xdr:colOff>
      <xdr:row>7</xdr:row>
      <xdr:rowOff>114300</xdr:rowOff>
    </xdr:from>
    <xdr:to>
      <xdr:col>40</xdr:col>
      <xdr:colOff>476250</xdr:colOff>
      <xdr:row>18</xdr:row>
      <xdr:rowOff>76200</xdr:rowOff>
    </xdr:to>
    <xdr:sp macro="" textlink="">
      <xdr:nvSpPr>
        <xdr:cNvPr id="3" name="ZoneTexte 2"/>
        <xdr:cNvSpPr txBox="1"/>
      </xdr:nvSpPr>
      <xdr:spPr>
        <a:xfrm>
          <a:off x="8134350" y="1133475"/>
          <a:ext cx="3238500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r-FR" sz="1800" b="1">
              <a:solidFill>
                <a:schemeClr val="dk1"/>
              </a:solidFill>
              <a:latin typeface="+mn-lt"/>
              <a:ea typeface="+mn-ea"/>
              <a:cs typeface="+mn-cs"/>
            </a:rPr>
            <a:t>Mohamed ELHADRI</a:t>
          </a:r>
          <a:endParaRPr lang="fr-FR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Expert en mécanique générale et automobile</a:t>
          </a:r>
        </a:p>
        <a:p>
          <a:pPr algn="ctr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4, Rue Khédija TURKI Le BARDO</a:t>
          </a:r>
        </a:p>
        <a:p>
          <a:pPr algn="ctr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Tél: 71220591 - Fax 71516147 - GSM : 99259320</a:t>
          </a:r>
        </a:p>
        <a:p>
          <a:pPr algn="ctr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e-mail: </a:t>
          </a:r>
          <a:r>
            <a:rPr lang="fr-F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el.hadri@planet.tn</a:t>
          </a:r>
        </a:p>
        <a:p>
          <a:pPr algn="ctr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Site</a:t>
          </a:r>
          <a:r>
            <a:rPr lang="fr-F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: http://sites.google.com/site.hadriexpertauto</a:t>
          </a:r>
        </a:p>
        <a:p>
          <a:pPr algn="ctr"/>
          <a:r>
            <a:rPr lang="fr-F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abSelected="1" topLeftCell="M1" workbookViewId="0">
      <selection activeCell="Z5" sqref="Z5:AE6"/>
    </sheetView>
  </sheetViews>
  <sheetFormatPr baseColWidth="10" defaultRowHeight="12.75"/>
  <cols>
    <col min="1" max="1" width="7.42578125" style="2" hidden="1" customWidth="1"/>
    <col min="2" max="2" width="3.85546875" style="2" hidden="1" customWidth="1"/>
    <col min="3" max="3" width="6" style="3" hidden="1" customWidth="1"/>
    <col min="4" max="4" width="11.140625" style="5" hidden="1" customWidth="1"/>
    <col min="5" max="5" width="5.7109375" style="6" hidden="1" customWidth="1"/>
    <col min="6" max="6" width="11.140625" style="5" hidden="1" customWidth="1"/>
    <col min="7" max="7" width="5.85546875" style="7" hidden="1" customWidth="1"/>
    <col min="8" max="8" width="11.140625" style="5" hidden="1" customWidth="1"/>
    <col min="9" max="9" width="5.85546875" style="7" hidden="1" customWidth="1"/>
    <col min="10" max="10" width="11.28515625" style="5" hidden="1" customWidth="1"/>
    <col min="11" max="11" width="2.42578125" style="5" hidden="1" customWidth="1"/>
    <col min="12" max="12" width="10.42578125" style="2" hidden="1" customWidth="1"/>
    <col min="13" max="16" width="10.42578125" style="2" customWidth="1"/>
    <col min="17" max="18" width="3.7109375" style="5" customWidth="1"/>
    <col min="19" max="29" width="3.7109375" style="2" customWidth="1"/>
    <col min="30" max="30" width="5.42578125" style="2" customWidth="1"/>
    <col min="31" max="36" width="3.7109375" style="2" customWidth="1"/>
    <col min="37" max="16384" width="11.42578125" style="2"/>
  </cols>
  <sheetData>
    <row r="1" spans="1:40" ht="15.75" customHeight="1">
      <c r="A1" s="60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</row>
    <row r="2" spans="1:40" ht="12.7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1:40" ht="7.5" customHeight="1">
      <c r="B3" s="9" t="s">
        <v>1</v>
      </c>
      <c r="C3" s="10"/>
      <c r="D3" s="11" t="s">
        <v>2</v>
      </c>
      <c r="E3" s="12"/>
      <c r="F3" s="11" t="s">
        <v>3</v>
      </c>
      <c r="G3" s="13"/>
      <c r="H3" s="11" t="s">
        <v>4</v>
      </c>
      <c r="I3" s="13"/>
      <c r="J3" s="11" t="s">
        <v>5</v>
      </c>
      <c r="K3" s="14"/>
      <c r="L3" s="74"/>
      <c r="M3" s="74"/>
      <c r="N3" s="74"/>
      <c r="O3" s="74"/>
      <c r="P3" s="74"/>
      <c r="Q3" s="74"/>
      <c r="R3" s="74"/>
      <c r="S3" s="75"/>
      <c r="T3" s="75"/>
      <c r="U3" s="75"/>
      <c r="V3" s="75"/>
      <c r="W3" s="75"/>
      <c r="X3" s="75"/>
      <c r="Y3" s="75"/>
      <c r="Z3" s="75"/>
      <c r="AA3" s="75"/>
    </row>
    <row r="4" spans="1:40" ht="12.75" customHeight="1" thickBot="1">
      <c r="A4" s="17" t="s">
        <v>9</v>
      </c>
      <c r="B4" s="18">
        <f>IF(R13=0,V13,0)</f>
        <v>0</v>
      </c>
      <c r="C4" s="19"/>
      <c r="D4" s="20" t="str">
        <f>IF(B4&gt;0,(Z5)-(Z5-D5)/12*B4," ")</f>
        <v xml:space="preserve"> </v>
      </c>
      <c r="E4" s="21"/>
      <c r="F4" s="20" t="str">
        <f>IF(B4&gt;0,(Z5)-(Z5-F5)/12*B4," ")</f>
        <v xml:space="preserve"> </v>
      </c>
      <c r="G4" s="22"/>
      <c r="H4" s="20" t="str">
        <f>IF(B4&gt;0,(Z5)-(Z5-H5)/12*B4," ")</f>
        <v xml:space="preserve"> </v>
      </c>
      <c r="I4" s="22"/>
      <c r="J4" s="20" t="str">
        <f>IF(B4&gt;0,(Z5)-(Z5-J5)/12*B4," ")</f>
        <v xml:space="preserve"> </v>
      </c>
      <c r="K4" s="23"/>
      <c r="L4" s="15" t="str">
        <f>IF(R13=0,IF(AA13=1,D4,IF(AA13=2,F4,IF(AA13=3,H4,IF(AA13=4,J4)))),"")</f>
        <v/>
      </c>
      <c r="M4" s="59"/>
      <c r="N4" s="59"/>
      <c r="O4" s="59"/>
      <c r="P4" s="59"/>
      <c r="Q4" s="15"/>
      <c r="R4" s="15"/>
      <c r="S4" s="16"/>
      <c r="Y4" s="16"/>
      <c r="Z4" s="62" t="s">
        <v>0</v>
      </c>
      <c r="AA4" s="63"/>
      <c r="AB4" s="63"/>
      <c r="AC4" s="63"/>
      <c r="AD4" s="63"/>
      <c r="AE4" s="64"/>
    </row>
    <row r="5" spans="1:40" ht="12.75" customHeight="1" thickTop="1">
      <c r="A5" s="24" t="s">
        <v>14</v>
      </c>
      <c r="B5" s="25">
        <v>1</v>
      </c>
      <c r="C5" s="26">
        <v>80</v>
      </c>
      <c r="D5" s="27">
        <f>SUM(Z5)*C5/100</f>
        <v>43200</v>
      </c>
      <c r="E5" s="26">
        <v>83</v>
      </c>
      <c r="F5" s="27">
        <f>SUM(Z5)*E5/100</f>
        <v>44820</v>
      </c>
      <c r="G5" s="26">
        <v>86</v>
      </c>
      <c r="H5" s="27">
        <f>SUM(Z5)*G5/100</f>
        <v>46440</v>
      </c>
      <c r="I5" s="26">
        <v>90</v>
      </c>
      <c r="J5" s="27">
        <f>SUM(Z5)*I5/100</f>
        <v>48600</v>
      </c>
      <c r="K5" s="14"/>
      <c r="L5" s="15" t="str">
        <f>IF(R13=1,IF(V13&lt;&gt;0," ",IF(AA13=1,D5,IF(AA13=2,F5,IF(AA13=3,H5,IF(AA13=4,J5))))),"")</f>
        <v/>
      </c>
      <c r="M5" s="59"/>
      <c r="N5" s="59"/>
      <c r="O5" s="59"/>
      <c r="P5" s="59"/>
      <c r="Q5" s="15"/>
      <c r="R5" s="15"/>
      <c r="S5" s="16"/>
      <c r="Y5" s="16"/>
      <c r="Z5" s="65">
        <v>54000</v>
      </c>
      <c r="AA5" s="66"/>
      <c r="AB5" s="66"/>
      <c r="AC5" s="66"/>
      <c r="AD5" s="66"/>
      <c r="AE5" s="67"/>
    </row>
    <row r="6" spans="1:40" ht="12.75" customHeight="1" thickBot="1">
      <c r="A6" s="17" t="s">
        <v>9</v>
      </c>
      <c r="B6" s="18">
        <f>IF(R13=1,V13,0)</f>
        <v>0</v>
      </c>
      <c r="C6" s="29"/>
      <c r="D6" s="20" t="str">
        <f>IF(B6&gt;0,(D5)-(D5-D7)/12*B6," ")</f>
        <v xml:space="preserve"> </v>
      </c>
      <c r="E6" s="29"/>
      <c r="F6" s="20" t="str">
        <f>IF(B6&gt;0,(F5)-(F5-F7)/12*B6," ")</f>
        <v xml:space="preserve"> </v>
      </c>
      <c r="G6" s="29"/>
      <c r="H6" s="20" t="str">
        <f>IF(B6&gt;0,(H5)-(H5-H7)/12*B6," ")</f>
        <v xml:space="preserve"> </v>
      </c>
      <c r="I6" s="29"/>
      <c r="J6" s="20" t="str">
        <f>IF(B6&gt;0,(J5)-(J5-J7)/12*B6," ")</f>
        <v xml:space="preserve"> </v>
      </c>
      <c r="K6" s="30"/>
      <c r="L6" s="15" t="str">
        <f>IF(R13=1,IF(V13=0," ",IF(AA13=1,D6,IF(AA13=2,F6,IF(AA13=3,H6,IF(AA13=4,J6))))),"")</f>
        <v/>
      </c>
      <c r="M6" s="59"/>
      <c r="N6" s="59"/>
      <c r="O6" s="59"/>
      <c r="P6" s="59"/>
      <c r="Z6" s="68"/>
      <c r="AA6" s="69"/>
      <c r="AB6" s="69"/>
      <c r="AC6" s="69"/>
      <c r="AD6" s="69"/>
      <c r="AE6" s="70"/>
    </row>
    <row r="7" spans="1:40" ht="6" customHeight="1" thickTop="1" thickBot="1">
      <c r="A7" s="24" t="s">
        <v>14</v>
      </c>
      <c r="B7" s="25">
        <v>2</v>
      </c>
      <c r="C7" s="26">
        <v>68</v>
      </c>
      <c r="D7" s="27">
        <f>SUM(Z5)*C7/100</f>
        <v>36720</v>
      </c>
      <c r="E7" s="26">
        <v>72.39</v>
      </c>
      <c r="F7" s="27">
        <f>SUM(Z5)*E7/100</f>
        <v>39090.6</v>
      </c>
      <c r="G7" s="26">
        <v>76.709999999999994</v>
      </c>
      <c r="H7" s="27">
        <f>SUM(Z5)*G7/100</f>
        <v>41423.399999999994</v>
      </c>
      <c r="I7" s="26">
        <v>82.25</v>
      </c>
      <c r="J7" s="27">
        <f>SUM(Z5)*I7/100</f>
        <v>44415</v>
      </c>
      <c r="K7" s="14"/>
      <c r="L7" s="15" t="str">
        <f>IF(R13=2,IF(V13&lt;&gt;0," ",IF(AA13=1,D7,IF(AA13=2,F7,IF(AA13=3,H7,IF(AA13=4,J7))))),"00")</f>
        <v>00</v>
      </c>
      <c r="M7" s="59"/>
      <c r="N7" s="59"/>
      <c r="O7" s="59"/>
      <c r="P7" s="59"/>
      <c r="Q7" s="42"/>
      <c r="R7" s="45"/>
      <c r="S7" s="45"/>
    </row>
    <row r="8" spans="1:40" ht="12.75" customHeight="1" thickTop="1" thickBot="1">
      <c r="A8" s="17" t="s">
        <v>9</v>
      </c>
      <c r="B8" s="18">
        <f>IF(R13=2,V13,0)</f>
        <v>0</v>
      </c>
      <c r="C8" s="19"/>
      <c r="D8" s="20" t="str">
        <f>IF(B8&gt;0,(D7)-(D7-D9)/12*B8," ")</f>
        <v xml:space="preserve"> </v>
      </c>
      <c r="E8" s="19"/>
      <c r="F8" s="20" t="str">
        <f>IF(B8&gt;0,(F7)-(F7-F9)/12*B8," ")</f>
        <v xml:space="preserve"> </v>
      </c>
      <c r="G8" s="19"/>
      <c r="H8" s="20" t="str">
        <f>IF(B8&gt;0,(H7)-(H7-H9)/12*B8," ")</f>
        <v xml:space="preserve"> </v>
      </c>
      <c r="I8" s="19"/>
      <c r="J8" s="20" t="str">
        <f>IF(B8&gt;0,(J7)-(J7-J9)/12*B8," ")</f>
        <v xml:space="preserve"> </v>
      </c>
      <c r="K8" s="30"/>
      <c r="L8" s="15" t="str">
        <f>IF(R13=2,IF(V13=0," ",IF(AA13=1,D8,IF(AA13=2,F8,IF(AA13=3,H8,IF(AA13=4,J8))))),"")</f>
        <v/>
      </c>
      <c r="M8" s="59"/>
      <c r="N8" s="59"/>
      <c r="O8" s="59"/>
      <c r="P8" s="59"/>
      <c r="Q8" s="43"/>
      <c r="R8" s="45"/>
      <c r="S8" s="45"/>
      <c r="T8" s="71" t="s">
        <v>17</v>
      </c>
      <c r="U8" s="71"/>
      <c r="V8" s="72"/>
      <c r="W8" s="72"/>
      <c r="X8" s="72"/>
      <c r="Y8" s="73"/>
      <c r="Z8" s="73"/>
      <c r="AA8" s="46">
        <v>12</v>
      </c>
      <c r="AB8" s="46">
        <v>5</v>
      </c>
      <c r="AC8" s="76">
        <v>2013</v>
      </c>
      <c r="AD8" s="77"/>
    </row>
    <row r="9" spans="1:40" ht="12.75" customHeight="1" thickTop="1" thickBot="1">
      <c r="A9" s="24" t="s">
        <v>14</v>
      </c>
      <c r="B9" s="25">
        <v>3</v>
      </c>
      <c r="C9" s="26">
        <v>58.4</v>
      </c>
      <c r="D9" s="27">
        <f>SUM(Z5)*C9/100</f>
        <v>31536</v>
      </c>
      <c r="E9" s="26">
        <v>63.58</v>
      </c>
      <c r="F9" s="27">
        <f>SUM(Z5)*E9/100</f>
        <v>34333.199999999997</v>
      </c>
      <c r="G9" s="26">
        <v>68.72</v>
      </c>
      <c r="H9" s="27">
        <f>SUM(Z5)*G9/100</f>
        <v>37108.800000000003</v>
      </c>
      <c r="I9" s="26">
        <v>75.28</v>
      </c>
      <c r="J9" s="27">
        <f>SUM(Z5)*I9/100</f>
        <v>40651.199999999997</v>
      </c>
      <c r="K9" s="14"/>
      <c r="L9" s="15" t="str">
        <f>IF(R13=3,IF(V13&lt;&gt;0," ",IF(AA13=1,D9,IF(AA13=2,F9,IF(AA13=3,H9,IF(AA13=4,J9))))),"00")</f>
        <v>00</v>
      </c>
      <c r="M9" s="59"/>
      <c r="N9" s="59"/>
      <c r="O9" s="59"/>
      <c r="P9" s="59"/>
      <c r="Q9" s="44"/>
      <c r="R9" s="44"/>
      <c r="S9" s="8"/>
      <c r="T9" s="78" t="s">
        <v>11</v>
      </c>
      <c r="U9" s="78"/>
      <c r="V9" s="72"/>
      <c r="W9" s="72"/>
      <c r="X9" s="72"/>
      <c r="Y9" s="73"/>
      <c r="Z9" s="73"/>
      <c r="AA9" s="46">
        <v>7</v>
      </c>
      <c r="AB9" s="46">
        <v>4</v>
      </c>
      <c r="AC9" s="76">
        <v>2009</v>
      </c>
      <c r="AD9" s="76"/>
    </row>
    <row r="10" spans="1:40" ht="12.75" customHeight="1" thickTop="1">
      <c r="A10" s="17" t="s">
        <v>9</v>
      </c>
      <c r="B10" s="18">
        <f>IF(R13=3,V13,0)</f>
        <v>0</v>
      </c>
      <c r="C10" s="19"/>
      <c r="D10" s="20" t="str">
        <f>IF(B10&gt;0,(D9)-(D9-D11)/12*B10," ")</f>
        <v xml:space="preserve"> </v>
      </c>
      <c r="E10" s="19"/>
      <c r="F10" s="20" t="str">
        <f>IF(B10&gt;0,(F9)-(F9-F11)/12*B10," ")</f>
        <v xml:space="preserve"> </v>
      </c>
      <c r="G10" s="19"/>
      <c r="H10" s="20" t="str">
        <f>IF(B10&gt;0,(H9)-(H9-H11)/12*B10," ")</f>
        <v xml:space="preserve"> </v>
      </c>
      <c r="I10" s="19"/>
      <c r="J10" s="20" t="str">
        <f>IF(B10&gt;0,(J9)-(J9-J11)/12*B10," ")</f>
        <v xml:space="preserve"> </v>
      </c>
      <c r="K10" s="30"/>
      <c r="L10" s="15" t="str">
        <f>IF(R13=3,IF(V13=0," ",IF(AA13=1,D10,IF(AA13=2,F10,IF(AA13=3,H10,IF(AA13=4,J10))))),"")</f>
        <v/>
      </c>
      <c r="M10" s="59"/>
      <c r="N10" s="59"/>
      <c r="O10" s="59"/>
      <c r="P10" s="59"/>
      <c r="Q10" s="9"/>
      <c r="R10" s="2"/>
      <c r="T10" s="8"/>
      <c r="U10" s="8"/>
      <c r="V10" s="9"/>
      <c r="W10" s="9"/>
      <c r="X10" s="9"/>
      <c r="Y10" s="9"/>
      <c r="AA10" s="56">
        <f>IF(SUM(AA9)&gt;(AA8),  ((AA8+30)-AA9),AA8-AA9)</f>
        <v>5</v>
      </c>
      <c r="AB10" s="56">
        <f>IF(AB9&gt;AB8,(AB8+12)-AB9,AB8-AB9)</f>
        <v>1</v>
      </c>
      <c r="AC10" s="56"/>
      <c r="AD10" s="56">
        <f>IF((AB9&gt;AB8),((AC8)-(AC9+1)),(AC8-AC9))</f>
        <v>4</v>
      </c>
      <c r="AE10" s="57"/>
      <c r="AF10" s="58">
        <f>SUM(AD10)</f>
        <v>4</v>
      </c>
      <c r="AG10" s="55">
        <f>IF(AA10&gt;15,AB10+1,AB10)</f>
        <v>1</v>
      </c>
    </row>
    <row r="11" spans="1:40" ht="12.75" customHeight="1">
      <c r="A11" s="24" t="s">
        <v>14</v>
      </c>
      <c r="B11" s="25">
        <v>4</v>
      </c>
      <c r="C11" s="26">
        <v>50.72</v>
      </c>
      <c r="D11" s="27">
        <f>SUM(Z5)*C11/100</f>
        <v>27388.799999999999</v>
      </c>
      <c r="E11" s="26">
        <v>56.27</v>
      </c>
      <c r="F11" s="27">
        <f>SUM(Z5)*E11/100</f>
        <v>30385.8</v>
      </c>
      <c r="G11" s="26">
        <v>61.85</v>
      </c>
      <c r="H11" s="27">
        <f>SUM(Z5)*G11/100</f>
        <v>33399</v>
      </c>
      <c r="I11" s="26">
        <v>69</v>
      </c>
      <c r="J11" s="27">
        <f>SUM(Z5)*I11/100</f>
        <v>37260</v>
      </c>
      <c r="K11" s="14"/>
      <c r="L11" s="15" t="str">
        <f>IF(R13=4,IF(V13&lt;&gt;0," ",IF(AA13=1,D11,IF(AA13=2,F11,IF(AA13=3,H11,IF(AA13=4,J11))))),"00")</f>
        <v xml:space="preserve"> </v>
      </c>
      <c r="M11" s="59"/>
      <c r="N11" s="59"/>
      <c r="O11" s="59"/>
      <c r="P11" s="59"/>
      <c r="Q11" s="82" t="s">
        <v>10</v>
      </c>
      <c r="R11" s="82"/>
      <c r="S11" s="82"/>
      <c r="T11" s="82"/>
      <c r="U11" s="82"/>
      <c r="V11" s="82"/>
      <c r="W11" s="82"/>
      <c r="X11" s="82"/>
      <c r="Y11" s="82"/>
      <c r="Z11" s="90" t="s">
        <v>15</v>
      </c>
      <c r="AA11" s="91"/>
      <c r="AB11" s="91"/>
      <c r="AC11" s="91"/>
      <c r="AD11" s="91"/>
      <c r="AE11" s="91"/>
      <c r="AF11" s="54"/>
      <c r="AG11" s="54">
        <f>SUM(AA10)</f>
        <v>5</v>
      </c>
    </row>
    <row r="12" spans="1:40" ht="12.75" customHeight="1" thickBot="1">
      <c r="A12" s="17" t="s">
        <v>9</v>
      </c>
      <c r="B12" s="18">
        <f>IF(R13=4,V13,0)</f>
        <v>1</v>
      </c>
      <c r="C12" s="19"/>
      <c r="D12" s="20">
        <f>IF(B12&gt;0,(D11)-(D11-D13)/12*B12," ")</f>
        <v>27112.5</v>
      </c>
      <c r="E12" s="19"/>
      <c r="F12" s="20">
        <f>IF(B12&gt;0,(F11)-(F11-F13)/12*B12," ")</f>
        <v>30113.1</v>
      </c>
      <c r="G12" s="19"/>
      <c r="H12" s="20">
        <f>IF(B12&gt;0,(H11)-(H11-H13)/12*B12," ")</f>
        <v>33133.050000000003</v>
      </c>
      <c r="I12" s="19"/>
      <c r="J12" s="20">
        <f>IF(B12&gt;0,(J11)-(J11-J13)/12*B12," ")</f>
        <v>37005.75</v>
      </c>
      <c r="K12" s="30"/>
      <c r="L12" s="15">
        <f>IF(R13=4,IF(V13=0," ",IF(AA13=1,D12,IF(AA13=2,F12,IF(AA13=3,H12,IF(AA13=4,J12))))),"")</f>
        <v>30113.1</v>
      </c>
      <c r="M12" s="59"/>
      <c r="N12" s="59"/>
      <c r="O12" s="59"/>
      <c r="P12" s="59"/>
      <c r="Q12" s="82"/>
      <c r="R12" s="82"/>
      <c r="S12" s="82"/>
      <c r="T12" s="82"/>
      <c r="U12" s="82"/>
      <c r="V12" s="82"/>
      <c r="W12" s="82"/>
      <c r="X12" s="82"/>
      <c r="Y12" s="82"/>
      <c r="Z12" s="91"/>
      <c r="AA12" s="91"/>
      <c r="AB12" s="91"/>
      <c r="AC12" s="91"/>
      <c r="AD12" s="91"/>
      <c r="AE12" s="91"/>
    </row>
    <row r="13" spans="1:40" ht="12.75" customHeight="1" thickTop="1">
      <c r="A13" s="24" t="s">
        <v>14</v>
      </c>
      <c r="B13" s="25">
        <v>5</v>
      </c>
      <c r="C13" s="26">
        <v>44.58</v>
      </c>
      <c r="D13" s="27">
        <f>SUM(Z5)*C13/100</f>
        <v>24073.200000000001</v>
      </c>
      <c r="E13" s="26">
        <v>50.21</v>
      </c>
      <c r="F13" s="27">
        <f>SUM(Z5)*E13/100</f>
        <v>27113.4</v>
      </c>
      <c r="G13" s="26">
        <v>55.94</v>
      </c>
      <c r="H13" s="27">
        <f>SUM(Z5)*G13/100</f>
        <v>30207.599999999999</v>
      </c>
      <c r="I13" s="26">
        <v>63.35</v>
      </c>
      <c r="J13" s="27">
        <f>SUM(Z5)*I13/100</f>
        <v>34209</v>
      </c>
      <c r="K13" s="14"/>
      <c r="L13" s="15" t="str">
        <f>IF(R13=5,IF(V13&lt;&gt;0," ",IF(AA13=1,D13,IF(AA13=2,F13,IF(AA13=3,H13,IF(AA13=4,J13))))),"00")</f>
        <v>00</v>
      </c>
      <c r="M13" s="59"/>
      <c r="N13" s="59"/>
      <c r="O13" s="59"/>
      <c r="P13" s="59"/>
      <c r="Q13" s="47"/>
      <c r="R13" s="89">
        <f>IF(AG10=12,AF10+1,AF10)</f>
        <v>4</v>
      </c>
      <c r="S13" s="89"/>
      <c r="T13" s="79" t="s">
        <v>12</v>
      </c>
      <c r="U13" s="80"/>
      <c r="V13" s="93">
        <f>IF(AG10=12,0,AG10)</f>
        <v>1</v>
      </c>
      <c r="W13" s="94"/>
      <c r="X13" s="79" t="s">
        <v>13</v>
      </c>
      <c r="Y13" s="61"/>
      <c r="Z13" s="31"/>
      <c r="AA13" s="83">
        <v>2</v>
      </c>
      <c r="AB13" s="84"/>
      <c r="AC13" s="84"/>
      <c r="AD13" s="85"/>
      <c r="AG13" s="100">
        <f>SUM((R13*12)+V13)/10</f>
        <v>4.9000000000000004</v>
      </c>
      <c r="AH13" s="100"/>
    </row>
    <row r="14" spans="1:40" ht="12.75" customHeight="1" thickBot="1">
      <c r="A14" s="17" t="s">
        <v>9</v>
      </c>
      <c r="B14" s="18">
        <f>IF(R13=5,V13,0)</f>
        <v>0</v>
      </c>
      <c r="C14" s="19"/>
      <c r="D14" s="20" t="str">
        <f>IF(B14&gt;0,(D13)-(D13-D15)/12*B14," ")</f>
        <v xml:space="preserve"> </v>
      </c>
      <c r="E14" s="19"/>
      <c r="F14" s="20" t="str">
        <f>IF(B14&gt;0,(F13)-(F13-F15)/12*B14," ")</f>
        <v xml:space="preserve"> </v>
      </c>
      <c r="G14" s="19"/>
      <c r="H14" s="20" t="str">
        <f>IF(B14&gt;0,(H13)-(H13-H15)/12*B14," ")</f>
        <v xml:space="preserve"> </v>
      </c>
      <c r="I14" s="19"/>
      <c r="J14" s="20" t="str">
        <f>IF(B14&gt;0,(J13)-(J13-J15)/12*B14," ")</f>
        <v xml:space="preserve"> </v>
      </c>
      <c r="K14" s="30"/>
      <c r="L14" s="15" t="str">
        <f>IF(R13=5,IF(V13=0," ",IF(AA13=1,D14,IF(AA13=2,F14,IF(AA13=3,H14,IF(AA13=4,J14))))),"")</f>
        <v/>
      </c>
      <c r="M14" s="59"/>
      <c r="N14" s="59"/>
      <c r="O14" s="59"/>
      <c r="P14" s="59"/>
      <c r="Q14" s="47"/>
      <c r="R14" s="89"/>
      <c r="S14" s="89"/>
      <c r="T14" s="81"/>
      <c r="U14" s="80"/>
      <c r="V14" s="93"/>
      <c r="W14" s="94"/>
      <c r="X14" s="61"/>
      <c r="Y14" s="61"/>
      <c r="Z14" s="31"/>
      <c r="AA14" s="86"/>
      <c r="AB14" s="87"/>
      <c r="AC14" s="87"/>
      <c r="AD14" s="88"/>
      <c r="AG14" s="100"/>
      <c r="AH14" s="100"/>
    </row>
    <row r="15" spans="1:40" ht="12.75" customHeight="1" thickTop="1">
      <c r="A15" s="24" t="s">
        <v>14</v>
      </c>
      <c r="B15" s="25">
        <v>6</v>
      </c>
      <c r="C15" s="48">
        <v>39.659999999999997</v>
      </c>
      <c r="D15" s="27">
        <f>SUM(Z5)*C15/100</f>
        <v>21416.400000000001</v>
      </c>
      <c r="E15" s="48">
        <v>45.17</v>
      </c>
      <c r="F15" s="27">
        <f>SUM(Z5)*E15/100</f>
        <v>24391.8</v>
      </c>
      <c r="G15" s="48">
        <v>50.86</v>
      </c>
      <c r="H15" s="27">
        <f>SUM(Z5)*G15/100</f>
        <v>27464.400000000001</v>
      </c>
      <c r="I15" s="48">
        <v>58.26</v>
      </c>
      <c r="J15" s="27">
        <f>SUM(Z5)*I15/100</f>
        <v>31460.400000000001</v>
      </c>
      <c r="K15" s="14"/>
      <c r="L15" s="15" t="str">
        <f>IF(R13=6,IF(V13&lt;&gt;0," ",IF(AA13=1,D15,IF(AA13=2,F15,IF(AA13=3,H15,IF(AA13=4,J15))))),"00")</f>
        <v>00</v>
      </c>
      <c r="M15" s="59"/>
      <c r="N15" s="59"/>
      <c r="O15" s="59"/>
      <c r="P15" s="59"/>
      <c r="Q15" s="32"/>
      <c r="R15" s="32"/>
      <c r="S15" s="4"/>
      <c r="T15" s="4"/>
      <c r="AC15" s="99"/>
      <c r="AD15" s="99"/>
      <c r="AE15" s="99"/>
      <c r="AF15" s="99"/>
      <c r="AG15" s="99"/>
      <c r="AH15" s="40"/>
      <c r="AI15" s="40"/>
      <c r="AJ15" s="95"/>
      <c r="AK15" s="96"/>
    </row>
    <row r="16" spans="1:40" ht="8.25" customHeight="1">
      <c r="A16" s="17" t="s">
        <v>9</v>
      </c>
      <c r="B16" s="18">
        <f>IF(R13=6,V13,0)</f>
        <v>0</v>
      </c>
      <c r="C16" s="19"/>
      <c r="D16" s="20" t="str">
        <f>IF(B16&gt;0,(D15)-(D15-D17)/12*B16," ")</f>
        <v xml:space="preserve"> </v>
      </c>
      <c r="E16" s="19"/>
      <c r="F16" s="20" t="str">
        <f>IF(B16&gt;0,(F15)-(F15-F17)/12*B16," ")</f>
        <v xml:space="preserve"> </v>
      </c>
      <c r="G16" s="19"/>
      <c r="H16" s="20" t="str">
        <f>IF(B16&gt;0,(H15)-(H15-H17)/12*B16," ")</f>
        <v xml:space="preserve"> </v>
      </c>
      <c r="I16" s="19"/>
      <c r="J16" s="20" t="str">
        <f>IF(B16&gt;0,(J15)-(J15-J17)/12*B16," ")</f>
        <v xml:space="preserve"> </v>
      </c>
      <c r="K16" s="30"/>
      <c r="L16" s="15" t="str">
        <f>IF(R13=6,IF(V13=0," ",IF(AA13=1,D16,IF(AA13=2,F16,IF(AA13=3,H16,IF(AA13=4,J16))))),"")</f>
        <v/>
      </c>
      <c r="M16" s="59"/>
      <c r="N16" s="59"/>
      <c r="O16" s="59"/>
      <c r="P16" s="59"/>
      <c r="Q16" s="108" t="s">
        <v>16</v>
      </c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4"/>
      <c r="AC16" s="92"/>
      <c r="AD16" s="92"/>
      <c r="AE16" s="92"/>
      <c r="AF16" s="92"/>
      <c r="AG16" s="92"/>
      <c r="AH16" s="41"/>
      <c r="AI16" s="41"/>
      <c r="AJ16" s="97"/>
      <c r="AK16" s="98"/>
    </row>
    <row r="17" spans="1:37" ht="12.75" customHeight="1">
      <c r="A17" s="24" t="s">
        <v>14</v>
      </c>
      <c r="B17" s="25">
        <v>7</v>
      </c>
      <c r="C17" s="26">
        <v>35.729999999999997</v>
      </c>
      <c r="D17" s="27">
        <f>SUM(Z5)*C17/100</f>
        <v>19294.199999999997</v>
      </c>
      <c r="E17" s="26">
        <v>40.99</v>
      </c>
      <c r="F17" s="27">
        <f>SUM(Z5)*E17/100</f>
        <v>22134.6</v>
      </c>
      <c r="G17" s="26">
        <v>46.49</v>
      </c>
      <c r="H17" s="27">
        <f>SUM(Z5)*G17/100</f>
        <v>25104.6</v>
      </c>
      <c r="I17" s="26">
        <v>53.69</v>
      </c>
      <c r="J17" s="27">
        <f>SUM(Z5)*I17/100</f>
        <v>28992.6</v>
      </c>
      <c r="K17" s="14"/>
      <c r="L17" s="15" t="str">
        <f>IF(R13=7,IF(V13&lt;&gt;0," ",IF(AA13=1,D17,IF(AA13=2,F17,IF(AA13=3,H17,IF(AA13=4,J17))))),"00")</f>
        <v>00</v>
      </c>
      <c r="M17" s="59"/>
      <c r="N17" s="59"/>
      <c r="O17" s="59"/>
      <c r="P17" s="59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4"/>
      <c r="AC17" s="44"/>
      <c r="AD17" s="44"/>
      <c r="AE17" s="44"/>
      <c r="AF17" s="102" t="s">
        <v>19</v>
      </c>
      <c r="AG17" s="61"/>
      <c r="AH17" s="61"/>
      <c r="AI17" s="61"/>
      <c r="AJ17" s="61"/>
      <c r="AK17" s="9"/>
    </row>
    <row r="18" spans="1:37" ht="12.75" customHeight="1">
      <c r="A18" s="17" t="s">
        <v>9</v>
      </c>
      <c r="B18" s="18">
        <f>IF(R13=7,V13,0)</f>
        <v>0</v>
      </c>
      <c r="C18" s="19"/>
      <c r="D18" s="20" t="str">
        <f>IF(B18&gt;0,(D17)-(D17-D19)/12*B18," ")</f>
        <v xml:space="preserve"> </v>
      </c>
      <c r="E18" s="19"/>
      <c r="F18" s="20" t="str">
        <f>IF(B18&gt;0,(F17)-(F17-F19)/12*B18," ")</f>
        <v xml:space="preserve"> </v>
      </c>
      <c r="G18" s="19"/>
      <c r="H18" s="20" t="str">
        <f>IF(B18&gt;0,(H17)-(H17-H19)/12*B18," ")</f>
        <v xml:space="preserve"> </v>
      </c>
      <c r="I18" s="19"/>
      <c r="J18" s="20" t="str">
        <f>IF(B18&gt;0,(J17)-(J17-J19)/12*B18," ")</f>
        <v xml:space="preserve"> </v>
      </c>
      <c r="K18" s="30"/>
      <c r="L18" s="15" t="str">
        <f>IF(R13=7,IF(V13=0," ",IF(AA13=1,D18,IF(AA13=2,F18,IF(AA13=3,H18,IF(AA13=4,J18))))),"")</f>
        <v/>
      </c>
      <c r="M18" s="59"/>
      <c r="N18" s="59"/>
      <c r="O18" s="59"/>
      <c r="P18" s="59"/>
      <c r="T18" s="107">
        <f>SUM(L4:L43)</f>
        <v>30113.1</v>
      </c>
      <c r="U18" s="107"/>
      <c r="V18" s="107"/>
      <c r="W18" s="107"/>
      <c r="X18" s="107"/>
      <c r="Y18" s="33"/>
      <c r="AC18" s="2" t="s">
        <v>18</v>
      </c>
      <c r="AF18" s="101">
        <f>SUM(T18)+(T18*((((AG13)^0.005)*AG13/3.5)+AG13)/100)</f>
        <v>32013.588620978993</v>
      </c>
      <c r="AG18" s="101"/>
      <c r="AH18" s="101"/>
      <c r="AI18" s="101"/>
      <c r="AJ18" s="101"/>
    </row>
    <row r="19" spans="1:37" ht="12.75" customHeight="1">
      <c r="A19" s="24" t="s">
        <v>14</v>
      </c>
      <c r="B19" s="25">
        <v>8</v>
      </c>
      <c r="C19" s="26">
        <v>32.58</v>
      </c>
      <c r="D19" s="27">
        <f>SUM(Z5)*C19/100</f>
        <v>17593.2</v>
      </c>
      <c r="E19" s="26">
        <v>37.520000000000003</v>
      </c>
      <c r="F19" s="27">
        <f>SUM(Z5)*E19/100</f>
        <v>20260.800000000003</v>
      </c>
      <c r="G19" s="26">
        <v>42.73</v>
      </c>
      <c r="H19" s="27">
        <f>SUM(Z5)*G19/100</f>
        <v>23074.2</v>
      </c>
      <c r="I19" s="26">
        <v>49.57</v>
      </c>
      <c r="J19" s="27">
        <f>SUM(Z5)*I19/100</f>
        <v>26767.8</v>
      </c>
      <c r="K19" s="14"/>
      <c r="L19" s="15" t="str">
        <f>IF(R13=8,IF(V13&lt;&gt;0," ",IF(AA13=1,D19,IF(AA13=2,F19,IF(AA13=3,H19,IF(AA13=4,J19))))),"00")</f>
        <v>00</v>
      </c>
      <c r="M19" s="59"/>
      <c r="N19" s="59"/>
      <c r="O19" s="59"/>
      <c r="P19" s="59"/>
      <c r="T19" s="107"/>
      <c r="U19" s="107"/>
      <c r="V19" s="107"/>
      <c r="W19" s="107"/>
      <c r="X19" s="107"/>
      <c r="Y19" s="33"/>
      <c r="AF19" s="101"/>
      <c r="AG19" s="101"/>
      <c r="AH19" s="101"/>
      <c r="AI19" s="101"/>
      <c r="AJ19" s="101"/>
    </row>
    <row r="20" spans="1:37" ht="12.75" customHeight="1">
      <c r="A20" s="17" t="s">
        <v>9</v>
      </c>
      <c r="B20" s="18">
        <f>IF(R13=8,V13,0)</f>
        <v>0</v>
      </c>
      <c r="C20" s="19"/>
      <c r="D20" s="20" t="str">
        <f>IF(B20&gt;0,(D19)-(D19-D21)/12*B20," ")</f>
        <v xml:space="preserve"> </v>
      </c>
      <c r="E20" s="19"/>
      <c r="F20" s="20" t="str">
        <f>IF(B20&gt;0,(F19)-(F19-F21)/12*B20," ")</f>
        <v xml:space="preserve"> </v>
      </c>
      <c r="G20" s="19"/>
      <c r="H20" s="20" t="str">
        <f>IF(B20&gt;0,(H19)-(H19-H21)/12*B20," ")</f>
        <v xml:space="preserve"> </v>
      </c>
      <c r="I20" s="19"/>
      <c r="J20" s="20" t="str">
        <f>IF(B20&gt;0,(J19)-(J19-J21)/12*B20," ")</f>
        <v xml:space="preserve"> </v>
      </c>
      <c r="K20" s="30"/>
      <c r="L20" s="15" t="str">
        <f>IF(R13=8,IF(V13=0," ",IF(AA13=1,D20,IF(AA13=2,F20,IF(AA13=3,H20,IF(AA13=4,J20))))),"")</f>
        <v/>
      </c>
      <c r="M20" s="59"/>
      <c r="N20" s="59"/>
      <c r="O20" s="59"/>
      <c r="P20" s="59"/>
      <c r="T20" s="52"/>
      <c r="U20" s="52"/>
      <c r="V20" s="52"/>
      <c r="W20" s="52"/>
      <c r="X20" s="52"/>
      <c r="Y20" s="33"/>
    </row>
    <row r="21" spans="1:37" ht="12.75" customHeight="1" thickBot="1">
      <c r="A21" s="24" t="s">
        <v>14</v>
      </c>
      <c r="B21" s="25">
        <v>9</v>
      </c>
      <c r="C21" s="26">
        <v>30.07</v>
      </c>
      <c r="D21" s="27">
        <f>SUM(Z5)*C21/100</f>
        <v>16237.8</v>
      </c>
      <c r="E21" s="26">
        <v>34.65</v>
      </c>
      <c r="F21" s="27">
        <f>SUM(Z5)*E21/100</f>
        <v>18711</v>
      </c>
      <c r="G21" s="26">
        <v>39.5</v>
      </c>
      <c r="H21" s="27">
        <f>SUM(Z5)*G21/100</f>
        <v>21330</v>
      </c>
      <c r="I21" s="26">
        <v>45.86</v>
      </c>
      <c r="J21" s="27">
        <f>SUM(Z5)*I21/100</f>
        <v>24764.400000000001</v>
      </c>
      <c r="K21" s="14"/>
      <c r="L21" s="15" t="str">
        <f>IF(R13=9,IF(V13&lt;&gt;0," ",IF(AA13=1,D21,IF(AA13=2,F21,IF(AA13=3,H21,IF(AA13=4,J21))))),"00")</f>
        <v>00</v>
      </c>
      <c r="M21" s="59"/>
      <c r="N21" s="59"/>
      <c r="O21" s="59"/>
      <c r="P21" s="59"/>
      <c r="T21" s="52"/>
      <c r="U21" s="52"/>
      <c r="V21" s="52"/>
      <c r="W21" s="52"/>
      <c r="X21" s="52"/>
      <c r="Y21" s="33"/>
    </row>
    <row r="22" spans="1:37" ht="12.75" customHeight="1" thickTop="1">
      <c r="A22" s="17" t="s">
        <v>9</v>
      </c>
      <c r="B22" s="18">
        <f>IF(R13=9,V13,0)</f>
        <v>0</v>
      </c>
      <c r="C22" s="19"/>
      <c r="D22" s="20" t="str">
        <f>IF(B22&gt;0,(D21)-(D21-D23)/12*B22," ")</f>
        <v xml:space="preserve"> </v>
      </c>
      <c r="E22" s="19"/>
      <c r="F22" s="20" t="str">
        <f>IF(B22&gt;0,(F21)-(F21-F23)/12*B22," ")</f>
        <v xml:space="preserve"> </v>
      </c>
      <c r="G22" s="19"/>
      <c r="H22" s="20" t="str">
        <f>IF(B22&gt;0,(H21)-(H21-H23)/12*B22," ")</f>
        <v xml:space="preserve"> </v>
      </c>
      <c r="I22" s="19"/>
      <c r="J22" s="20" t="str">
        <f>IF(B22&gt;0,(J21)-(J21-J23)/12*B22," ")</f>
        <v xml:space="preserve"> </v>
      </c>
      <c r="K22" s="30"/>
      <c r="L22" s="15" t="str">
        <f>IF(R13=9,IF(V13=0," ",IF(AA13=1,D22,IF(AA13=2,F22,IF(AA13=3,H22,IF(AA13=4,J22))))),"")</f>
        <v/>
      </c>
      <c r="M22" s="59"/>
      <c r="N22" s="59"/>
      <c r="O22" s="59"/>
      <c r="P22" s="59"/>
      <c r="Q22" s="116" t="s">
        <v>6</v>
      </c>
      <c r="R22" s="116"/>
      <c r="S22" s="116"/>
      <c r="T22" s="116"/>
      <c r="U22" s="116"/>
      <c r="V22" s="116"/>
      <c r="W22" s="116"/>
      <c r="X22" s="116"/>
      <c r="Y22" s="116"/>
      <c r="Z22" s="116"/>
      <c r="AA22" s="110">
        <v>0.1</v>
      </c>
      <c r="AB22" s="111"/>
      <c r="AC22" s="111"/>
      <c r="AD22" s="112"/>
    </row>
    <row r="23" spans="1:37" ht="12.75" customHeight="1" thickBot="1">
      <c r="A23" s="24" t="s">
        <v>14</v>
      </c>
      <c r="B23" s="25">
        <v>10</v>
      </c>
      <c r="C23" s="26">
        <v>28.05</v>
      </c>
      <c r="D23" s="27">
        <f>SUM(Z5)*C23/100</f>
        <v>15147</v>
      </c>
      <c r="E23" s="26">
        <v>32.26</v>
      </c>
      <c r="F23" s="27">
        <f>SUM(Z5)*E23/100</f>
        <v>17420.400000000001</v>
      </c>
      <c r="G23" s="26">
        <v>36.72</v>
      </c>
      <c r="H23" s="27">
        <f>SUM(Z5)*G23/100</f>
        <v>19828.8</v>
      </c>
      <c r="I23" s="26">
        <v>42.53</v>
      </c>
      <c r="J23" s="27">
        <f>SUM(Z5)*I23/100</f>
        <v>22966.2</v>
      </c>
      <c r="K23" s="14"/>
      <c r="L23" s="15" t="str">
        <f>IF(R13=10,IF(V13&lt;&gt;0," ",IF(AA13=1,D23,IF(AA13=2,F23,IF(AA13=3,H23,IF(AA13=4,J23))))),"00")</f>
        <v>00</v>
      </c>
      <c r="M23" s="59"/>
      <c r="N23" s="59"/>
      <c r="O23" s="59"/>
      <c r="P23" s="59"/>
      <c r="Q23" s="116" t="s">
        <v>7</v>
      </c>
      <c r="R23" s="116"/>
      <c r="S23" s="116"/>
      <c r="T23" s="116"/>
      <c r="U23" s="116"/>
      <c r="V23" s="116"/>
      <c r="W23" s="116"/>
      <c r="X23" s="116"/>
      <c r="Y23" s="116"/>
      <c r="Z23" s="116"/>
      <c r="AA23" s="113"/>
      <c r="AB23" s="114"/>
      <c r="AC23" s="114"/>
      <c r="AD23" s="115"/>
    </row>
    <row r="24" spans="1:37" ht="9" customHeight="1" thickTop="1">
      <c r="A24" s="17" t="s">
        <v>9</v>
      </c>
      <c r="B24" s="18">
        <f>IF(R13=10,V13,0)</f>
        <v>0</v>
      </c>
      <c r="C24" s="19"/>
      <c r="D24" s="20" t="str">
        <f>IF(B24&gt;0,(D23)-(D23-D25)/12*B24," ")</f>
        <v xml:space="preserve"> </v>
      </c>
      <c r="E24" s="19"/>
      <c r="F24" s="20" t="str">
        <f>IF(B24&gt;0,(F23)-(F23-F25)/12*B24," ")</f>
        <v xml:space="preserve"> </v>
      </c>
      <c r="G24" s="19"/>
      <c r="H24" s="20" t="str">
        <f>IF(B24&gt;0,(H23)-(H23-H25)/12*B24," ")</f>
        <v xml:space="preserve"> </v>
      </c>
      <c r="I24" s="19"/>
      <c r="J24" s="20" t="str">
        <f>IF(B24&gt;0,(J23)-(J23-J25)/12*B24," ")</f>
        <v xml:space="preserve"> </v>
      </c>
      <c r="K24" s="30"/>
      <c r="L24" s="15" t="str">
        <f>IF(R13=10,IF(V13=0," ",IF(AA13=1,D24,IF(AA13=2,F24,IF(AA13=3,H24,IF(AA13=4,J24))))),"")</f>
        <v/>
      </c>
      <c r="M24" s="59"/>
      <c r="N24" s="59"/>
      <c r="O24" s="59"/>
      <c r="P24" s="59"/>
      <c r="Q24" s="34"/>
      <c r="R24" s="35"/>
      <c r="S24" s="36"/>
      <c r="T24" s="36"/>
    </row>
    <row r="25" spans="1:37" ht="12.75" customHeight="1">
      <c r="A25" s="24" t="s">
        <v>14</v>
      </c>
      <c r="B25" s="25">
        <v>11</v>
      </c>
      <c r="C25" s="26">
        <v>26.44</v>
      </c>
      <c r="D25" s="27">
        <f>SUM(Z5)*C25/100</f>
        <v>14277.6</v>
      </c>
      <c r="E25" s="26">
        <v>30.27</v>
      </c>
      <c r="F25" s="27">
        <f>SUM(Z5)*E25/100</f>
        <v>16345.8</v>
      </c>
      <c r="G25" s="26">
        <v>34.33</v>
      </c>
      <c r="H25" s="27">
        <f>SUM(Z5)*G25/100</f>
        <v>18538.2</v>
      </c>
      <c r="I25" s="26">
        <v>39.520000000000003</v>
      </c>
      <c r="J25" s="27">
        <f>SUM(Z5)*I25/100</f>
        <v>21340.799999999999</v>
      </c>
      <c r="K25" s="14"/>
      <c r="L25" s="15" t="str">
        <f>IF(R13=11,IF(V13&lt;&gt;0," ",IF(AA13=1,D25,IF(AA13=2,F25,IF(AA13=3,H25,IF(AA13=4,J25))))),"00")</f>
        <v>00</v>
      </c>
      <c r="M25" s="59"/>
      <c r="N25" s="59"/>
      <c r="O25" s="59"/>
      <c r="P25" s="59"/>
      <c r="Q25" s="109" t="s">
        <v>8</v>
      </c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37" ht="12.75" customHeight="1">
      <c r="A26" s="17" t="s">
        <v>9</v>
      </c>
      <c r="B26" s="18">
        <f>IF(R13=11,V13,0)</f>
        <v>0</v>
      </c>
      <c r="C26" s="19"/>
      <c r="D26" s="20" t="str">
        <f>IF(B26&gt;0,(D25)-(D25-D27)/12*B26," ")</f>
        <v xml:space="preserve"> </v>
      </c>
      <c r="E26" s="19"/>
      <c r="F26" s="20" t="str">
        <f>IF(B26&gt;0,(F25)-(F25-F27)/12*B26," ")</f>
        <v xml:space="preserve"> </v>
      </c>
      <c r="G26" s="19"/>
      <c r="H26" s="20" t="str">
        <f>IF(B26&gt;0,(H25)-(H25-H27)/12*B26," ")</f>
        <v xml:space="preserve"> </v>
      </c>
      <c r="I26" s="19"/>
      <c r="J26" s="20" t="str">
        <f>IF(B26&gt;0,(J25)-(J25-J27)/12*B26," ")</f>
        <v xml:space="preserve"> </v>
      </c>
      <c r="K26" s="30"/>
      <c r="L26" s="15" t="str">
        <f>IF(R13=11,IF(V13=0," ",IF(AA13=1,D26,IF(AA13=2,F26,IF(AA13=3,H26,IF(AA13=4,J26))))),"")</f>
        <v/>
      </c>
      <c r="M26" s="59"/>
      <c r="N26" s="59"/>
      <c r="O26" s="59"/>
      <c r="P26" s="5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37" ht="12.75" customHeight="1">
      <c r="A27" s="24" t="s">
        <v>14</v>
      </c>
      <c r="B27" s="25">
        <v>12</v>
      </c>
      <c r="C27" s="26">
        <v>25.15</v>
      </c>
      <c r="D27" s="27">
        <f>SUM(Z5)*C27/100</f>
        <v>13581</v>
      </c>
      <c r="E27" s="26">
        <v>28.63</v>
      </c>
      <c r="F27" s="27">
        <f>SUM(Z5)*E27/100</f>
        <v>15460.2</v>
      </c>
      <c r="G27" s="26">
        <v>32.270000000000003</v>
      </c>
      <c r="H27" s="27">
        <f>SUM(Z5)*G27/100</f>
        <v>17425.800000000003</v>
      </c>
      <c r="I27" s="26">
        <v>36.82</v>
      </c>
      <c r="J27" s="27">
        <f>SUM(Z5)*I27/100</f>
        <v>19882.8</v>
      </c>
      <c r="K27" s="14"/>
      <c r="L27" s="15" t="str">
        <f>IF(R13=12,IF(V13&lt;&gt;0," ",IF(AA13=1,D27,IF(AA13=2,F27,IF(AA13=3,H27,IF(AA13=4,J27))))),"00")</f>
        <v>00</v>
      </c>
      <c r="M27" s="59"/>
      <c r="N27" s="59"/>
      <c r="O27" s="59"/>
      <c r="P27" s="59"/>
      <c r="S27" s="105">
        <f>SUM(T18+(T18)*AA22)</f>
        <v>33124.409999999996</v>
      </c>
      <c r="T27" s="106"/>
      <c r="U27" s="106"/>
      <c r="V27" s="106"/>
      <c r="W27" s="106"/>
      <c r="X27" s="106"/>
      <c r="Y27" s="4"/>
      <c r="Z27" s="4"/>
      <c r="AA27" s="32"/>
      <c r="AB27" s="53"/>
      <c r="AC27" s="53"/>
      <c r="AD27" s="53"/>
      <c r="AE27" s="53"/>
      <c r="AF27" s="103">
        <f>SUM(AF18+(AF18)*AA22)</f>
        <v>35214.947483076896</v>
      </c>
      <c r="AG27" s="104"/>
      <c r="AH27" s="104"/>
      <c r="AI27" s="104"/>
      <c r="AJ27" s="104"/>
    </row>
    <row r="28" spans="1:37" ht="12.75" customHeight="1">
      <c r="A28" s="17" t="s">
        <v>9</v>
      </c>
      <c r="B28" s="18">
        <f>IF(R13=12,V13,0)</f>
        <v>0</v>
      </c>
      <c r="C28" s="19"/>
      <c r="D28" s="20" t="str">
        <f>IF(B28&gt;0,(D27)-(D27-D29)/12*B28," ")</f>
        <v xml:space="preserve"> </v>
      </c>
      <c r="E28" s="19"/>
      <c r="F28" s="20" t="str">
        <f>IF(B28&gt;0,(F27)-(F27-F29)/12*B28," ")</f>
        <v xml:space="preserve"> </v>
      </c>
      <c r="G28" s="19"/>
      <c r="H28" s="20" t="str">
        <f>IF(B28&gt;0,(H27)-(H27-H29)/12*B28," ")</f>
        <v xml:space="preserve"> </v>
      </c>
      <c r="I28" s="19"/>
      <c r="J28" s="20" t="str">
        <f>IF(B28&gt;0,(J27)-(J27-J29)/12*B28," ")</f>
        <v xml:space="preserve"> </v>
      </c>
      <c r="K28" s="30"/>
      <c r="L28" s="15" t="str">
        <f>IF(R13=12,IF(V13=0," ",IF(AA13=1,D28,IF(AA13=2,F28,IF(AA13=3,H28,IF(AA13=4,J28))))),"")</f>
        <v/>
      </c>
      <c r="M28" s="59"/>
      <c r="N28" s="59"/>
      <c r="O28" s="59"/>
      <c r="P28" s="59"/>
      <c r="S28" s="106"/>
      <c r="T28" s="106"/>
      <c r="U28" s="106"/>
      <c r="V28" s="106"/>
      <c r="W28" s="106"/>
      <c r="X28" s="106"/>
      <c r="Y28" s="4"/>
      <c r="Z28" s="4"/>
      <c r="AA28" s="53"/>
      <c r="AB28" s="53"/>
      <c r="AC28" s="53"/>
      <c r="AD28" s="53"/>
      <c r="AE28" s="53"/>
      <c r="AF28" s="104"/>
      <c r="AG28" s="104"/>
      <c r="AH28" s="104"/>
      <c r="AI28" s="104"/>
      <c r="AJ28" s="104"/>
    </row>
    <row r="29" spans="1:37" ht="12.75" customHeight="1">
      <c r="A29" s="24" t="s">
        <v>14</v>
      </c>
      <c r="B29" s="25">
        <v>13</v>
      </c>
      <c r="C29" s="26">
        <v>24.12</v>
      </c>
      <c r="D29" s="27">
        <f>SUM(Z5)*C29/100</f>
        <v>13024.8</v>
      </c>
      <c r="E29" s="26">
        <v>27.26</v>
      </c>
      <c r="F29" s="27">
        <f>SUM(Z5)*E29/100</f>
        <v>14720.4</v>
      </c>
      <c r="G29" s="26">
        <v>30.5</v>
      </c>
      <c r="H29" s="27">
        <f>SUM(Z5)*G29/100</f>
        <v>16470</v>
      </c>
      <c r="I29" s="26">
        <v>34.39</v>
      </c>
      <c r="J29" s="27">
        <f>SUM(Z5)*I29/100</f>
        <v>18570.599999999999</v>
      </c>
      <c r="K29" s="14"/>
      <c r="L29" s="15" t="str">
        <f>IF(R13=13,IF(V13&lt;&gt;0," ",IF(AA13=1,D29,IF(AA13=2,F29,IF(AA13=3,H29,IF(AA13=4,J29))))),"00")</f>
        <v>00</v>
      </c>
      <c r="M29" s="59"/>
      <c r="N29" s="59"/>
      <c r="O29" s="59"/>
      <c r="P29" s="59"/>
      <c r="AA29" s="53"/>
      <c r="AB29" s="53"/>
      <c r="AC29" s="53"/>
      <c r="AD29" s="53"/>
      <c r="AE29" s="53"/>
      <c r="AF29" s="53"/>
    </row>
    <row r="30" spans="1:37" ht="12.75" customHeight="1">
      <c r="A30" s="17" t="s">
        <v>9</v>
      </c>
      <c r="B30" s="18">
        <f>IF(R13=13,V13,0)</f>
        <v>0</v>
      </c>
      <c r="C30" s="19"/>
      <c r="D30" s="20" t="str">
        <f>IF(B30&gt;0,(D29)-(D29-D31)/12*B30," ")</f>
        <v xml:space="preserve"> </v>
      </c>
      <c r="E30" s="19"/>
      <c r="F30" s="20" t="str">
        <f>IF(B30&gt;0,(F29)-(F29-F31)/12*B30," ")</f>
        <v xml:space="preserve"> </v>
      </c>
      <c r="G30" s="19"/>
      <c r="H30" s="20" t="str">
        <f>IF(B30&gt;0,(H29)-(H29-H31)/12*B30," ")</f>
        <v xml:space="preserve"> </v>
      </c>
      <c r="I30" s="19"/>
      <c r="J30" s="20" t="str">
        <f>IF(B30&gt;0,(J29)-(J29-J31)/12*B30," ")</f>
        <v xml:space="preserve"> </v>
      </c>
      <c r="K30" s="30"/>
      <c r="L30" s="15" t="str">
        <f>IF(R13=13,IF(V13=0," ",IF(AA13=1,D30,IF(AA13=2,F30,IF(AA13=3,H30,IF(AA13=4,J30))))),"")</f>
        <v/>
      </c>
      <c r="M30" s="59"/>
      <c r="N30" s="59"/>
      <c r="O30" s="59"/>
      <c r="P30" s="59"/>
      <c r="R30" s="38"/>
      <c r="S30" s="38"/>
      <c r="T30" s="39"/>
      <c r="U30" s="39"/>
      <c r="V30" s="39"/>
      <c r="W30" s="39"/>
      <c r="X30" s="39"/>
      <c r="Y30" s="39"/>
      <c r="Z30" s="39"/>
      <c r="AA30" s="39"/>
      <c r="AD30" s="37"/>
      <c r="AE30" s="37"/>
    </row>
    <row r="31" spans="1:37" ht="12.75" customHeight="1">
      <c r="A31" s="24" t="s">
        <v>14</v>
      </c>
      <c r="B31" s="25">
        <v>14</v>
      </c>
      <c r="C31" s="49">
        <v>23.3</v>
      </c>
      <c r="D31" s="27">
        <f>SUM(Z5)*C31/100</f>
        <v>12582</v>
      </c>
      <c r="E31" s="26">
        <v>26.13</v>
      </c>
      <c r="F31" s="27">
        <f>SUM(Z5)*E31/100</f>
        <v>14110.2</v>
      </c>
      <c r="G31" s="26">
        <v>28.98</v>
      </c>
      <c r="H31" s="27">
        <f>SUM(Z5)*G31/100</f>
        <v>15649.2</v>
      </c>
      <c r="I31" s="26">
        <v>32.200000000000003</v>
      </c>
      <c r="J31" s="27">
        <f>SUM(Z5)*I31/100</f>
        <v>17388.000000000004</v>
      </c>
      <c r="K31" s="14"/>
      <c r="L31" s="15" t="str">
        <f>IF(R13=14,IF(V13&lt;&gt;0," ",IF(AA13=1,D31,IF(AA13=2,F31,IF(AA13=3,H31,IF(AA13=4,J31))))),"00")</f>
        <v>00</v>
      </c>
      <c r="M31" s="59"/>
      <c r="N31" s="59"/>
      <c r="O31" s="59"/>
      <c r="P31" s="59"/>
      <c r="R31" s="1"/>
      <c r="S31" s="1"/>
      <c r="T31" s="39"/>
      <c r="U31" s="39"/>
      <c r="V31" s="39"/>
      <c r="W31" s="39"/>
      <c r="X31" s="39"/>
      <c r="Y31" s="39"/>
      <c r="Z31" s="39"/>
      <c r="AA31" s="39"/>
    </row>
    <row r="32" spans="1:37" ht="12.75" customHeight="1">
      <c r="A32" s="17" t="s">
        <v>9</v>
      </c>
      <c r="B32" s="18">
        <f>IF(R13=14,V13,0)</f>
        <v>0</v>
      </c>
      <c r="C32" s="19"/>
      <c r="D32" s="20" t="str">
        <f>IF(B32&gt;0,(D31)-(D31-D33)/12*B32," ")</f>
        <v xml:space="preserve"> </v>
      </c>
      <c r="E32" s="19"/>
      <c r="F32" s="20" t="str">
        <f>IF(B32&gt;0,(F31)-(F31-F33)/12*B32," ")</f>
        <v xml:space="preserve"> </v>
      </c>
      <c r="G32" s="19"/>
      <c r="H32" s="20" t="str">
        <f>IF(B32&gt;0,(H31)-(H31-H33)/12*B32," ")</f>
        <v xml:space="preserve"> </v>
      </c>
      <c r="I32" s="19"/>
      <c r="J32" s="20" t="str">
        <f>IF(B32&gt;0,(J31)-(J31-J33)/12*B32," ")</f>
        <v xml:space="preserve"> </v>
      </c>
      <c r="K32" s="30"/>
      <c r="L32" s="15" t="str">
        <f>IF(R13=14,IF(V13=0," ",IF(AA13=1,D32,IF(AA13=2,F32,IF(AA13=3,H32,IF(AA13=4,J32))))),"")</f>
        <v/>
      </c>
      <c r="M32" s="59"/>
      <c r="N32" s="59"/>
      <c r="O32" s="59"/>
      <c r="P32" s="59"/>
      <c r="R32" s="1"/>
      <c r="S32" s="1"/>
      <c r="T32" s="39"/>
      <c r="U32" s="39"/>
      <c r="V32" s="39"/>
      <c r="W32" s="39"/>
      <c r="X32" s="39"/>
      <c r="Y32" s="39"/>
      <c r="Z32" s="39"/>
      <c r="AA32" s="39"/>
    </row>
    <row r="33" spans="1:43" ht="12.75" customHeight="1">
      <c r="A33" s="24" t="s">
        <v>14</v>
      </c>
      <c r="B33" s="25">
        <v>15</v>
      </c>
      <c r="C33" s="49">
        <v>22.64</v>
      </c>
      <c r="D33" s="27">
        <f>SUM(Z5)*C33/100</f>
        <v>12225.6</v>
      </c>
      <c r="E33" s="26">
        <v>25.18</v>
      </c>
      <c r="F33" s="27">
        <f>SUM(Z5)*E33/100</f>
        <v>13597.2</v>
      </c>
      <c r="G33" s="26">
        <v>27.68</v>
      </c>
      <c r="H33" s="27">
        <f>SUM(Z5)*G33/100</f>
        <v>14947.2</v>
      </c>
      <c r="I33" s="26">
        <v>30.23</v>
      </c>
      <c r="J33" s="27">
        <f>SUM(Z5)*I33/100</f>
        <v>16324.2</v>
      </c>
      <c r="K33" s="14"/>
      <c r="L33" s="15" t="str">
        <f>IF(R13=15,IF(V13&lt;&gt;0," ",IF(AA13=1,D33,IF(AA13=2,F33,IF(AA13=3,H33,IF(AA13=4,J33))))),"00")</f>
        <v>00</v>
      </c>
      <c r="M33" s="59"/>
      <c r="N33" s="59"/>
      <c r="O33" s="59"/>
      <c r="P33" s="59"/>
    </row>
    <row r="34" spans="1:43" ht="15.75" customHeight="1">
      <c r="A34" s="17" t="s">
        <v>9</v>
      </c>
      <c r="B34" s="18">
        <f>IF(R13=15,V13,0)</f>
        <v>0</v>
      </c>
      <c r="D34" s="20" t="str">
        <f>IF(B34&gt;0,(D33)-(D33-D35)/12*B34," ")</f>
        <v xml:space="preserve"> </v>
      </c>
      <c r="F34" s="20" t="str">
        <f>IF(B34&gt;0,(F33)-(F33-F35)/12*B34," ")</f>
        <v xml:space="preserve"> </v>
      </c>
      <c r="H34" s="20" t="str">
        <f>IF(B34&gt;0,(H33)-(H33-H35)/12*B34," ")</f>
        <v xml:space="preserve"> </v>
      </c>
      <c r="I34" s="28"/>
      <c r="J34" s="20" t="str">
        <f>IF(B34&gt;0,(J33)-(J33-J35)/12*B34," ")</f>
        <v xml:space="preserve"> </v>
      </c>
      <c r="K34" s="30"/>
      <c r="L34" s="15" t="str">
        <f>IF(R13=15,IF(V13=0," ",IF(AA13=1,D34,IF(AA13=2,F34,IF(AA13=3,H34,IF(AA13=4,J34))))),"")</f>
        <v/>
      </c>
      <c r="M34" s="59"/>
      <c r="N34" s="59"/>
      <c r="O34" s="59"/>
      <c r="P34" s="59"/>
      <c r="AF34" s="37"/>
    </row>
    <row r="35" spans="1:43" ht="12.75" customHeight="1">
      <c r="A35" s="24" t="s">
        <v>14</v>
      </c>
      <c r="B35" s="25">
        <v>16</v>
      </c>
      <c r="C35" s="50">
        <v>22.11</v>
      </c>
      <c r="D35" s="27">
        <f>SUM(Z5)*C35/100</f>
        <v>11939.4</v>
      </c>
      <c r="E35" s="51">
        <v>24.4</v>
      </c>
      <c r="F35" s="27">
        <f>SUM(Z5)*E35/100</f>
        <v>13176</v>
      </c>
      <c r="G35" s="28">
        <v>26.55</v>
      </c>
      <c r="H35" s="27">
        <f>SUM(Z5)*G35/100</f>
        <v>14337</v>
      </c>
      <c r="I35" s="28">
        <v>28.46</v>
      </c>
      <c r="J35" s="27">
        <f>SUM(Z5)*I35/100</f>
        <v>15368.4</v>
      </c>
      <c r="K35" s="30"/>
      <c r="L35" s="15" t="str">
        <f>IF(R13=16,IF(V13&lt;&gt;0," ",IF(AA13=1,D35,IF(AA13=2,F35,IF(AA13=3,H35,IF(AA13=4,J35))))),"00")</f>
        <v>00</v>
      </c>
      <c r="M35" s="59"/>
      <c r="N35" s="59"/>
      <c r="O35" s="59"/>
      <c r="P35" s="59"/>
      <c r="AF35" s="37"/>
    </row>
    <row r="36" spans="1:43" ht="12.75" customHeight="1">
      <c r="A36" s="17" t="s">
        <v>9</v>
      </c>
      <c r="B36" s="18">
        <f>IF(R13=16,V13,0)</f>
        <v>0</v>
      </c>
      <c r="C36" s="49"/>
      <c r="D36" s="20" t="str">
        <f>IF(B36&gt;0,(D35)-(D35-D37)/12*B36," ")</f>
        <v xml:space="preserve"> </v>
      </c>
      <c r="E36" s="51"/>
      <c r="F36" s="20" t="str">
        <f>IF(B36&gt;0,(F35)-(F35-F37)/12*B36," ")</f>
        <v xml:space="preserve"> </v>
      </c>
      <c r="G36" s="28"/>
      <c r="H36" s="20" t="str">
        <f>IF(B36&gt;0,(H35)-(H35-H37)/12*B36," ")</f>
        <v xml:space="preserve"> </v>
      </c>
      <c r="I36" s="28"/>
      <c r="J36" s="20" t="str">
        <f>IF(B36&gt;0,(J35)-(J35-J37)/12*B36," ")</f>
        <v xml:space="preserve"> </v>
      </c>
      <c r="K36" s="30"/>
      <c r="L36" s="15" t="str">
        <f>IF(R13=16,IF(V13=0," ",IF(AA13=1,D36,IF(AA13=2,F36,IF(AA13=3,H36,IF(AA13=4,J36))))),"")</f>
        <v/>
      </c>
      <c r="M36" s="59"/>
      <c r="N36" s="59"/>
      <c r="O36" s="59"/>
      <c r="P36" s="59"/>
      <c r="AF36" s="37"/>
    </row>
    <row r="37" spans="1:43">
      <c r="A37" s="24" t="s">
        <v>14</v>
      </c>
      <c r="B37" s="25">
        <v>17</v>
      </c>
      <c r="C37" s="49">
        <v>21.69</v>
      </c>
      <c r="D37" s="27">
        <f>SUM(Z5)*C37/100</f>
        <v>11712.6</v>
      </c>
      <c r="E37" s="51">
        <v>23.75</v>
      </c>
      <c r="F37" s="27">
        <f>SUM(Z5)*E37/100</f>
        <v>12825</v>
      </c>
      <c r="G37" s="28">
        <v>25.58</v>
      </c>
      <c r="H37" s="27">
        <f>SUM(Z5)*G37/100</f>
        <v>13813.2</v>
      </c>
      <c r="I37" s="28">
        <v>26.86</v>
      </c>
      <c r="J37" s="27">
        <f>SUM(Z5)*I37/100</f>
        <v>14504.4</v>
      </c>
      <c r="K37" s="30"/>
      <c r="L37" s="15" t="str">
        <f>IF(R13=17,IF(V13&lt;&gt;0," ",IF(AA13=1,D37,IF(AA13=2,F37,IF(AA13=3,H37,IF(AA13=4,J37))))),"00")</f>
        <v>00</v>
      </c>
      <c r="M37" s="59"/>
      <c r="N37" s="59"/>
      <c r="O37" s="59"/>
      <c r="P37" s="59"/>
    </row>
    <row r="38" spans="1:43" ht="18">
      <c r="A38" s="17" t="s">
        <v>9</v>
      </c>
      <c r="B38" s="18">
        <f>IF(R13=17,V13,0)</f>
        <v>0</v>
      </c>
      <c r="C38" s="49"/>
      <c r="D38" s="20" t="str">
        <f>IF(B38&gt;0,(D37)-(D37-D39)/12*B38," ")</f>
        <v xml:space="preserve"> </v>
      </c>
      <c r="E38" s="51"/>
      <c r="F38" s="20" t="str">
        <f>IF(B38&gt;0,(F37)-(F37-F39)/12*B38," ")</f>
        <v xml:space="preserve"> </v>
      </c>
      <c r="G38" s="28"/>
      <c r="H38" s="20" t="str">
        <f>IF(B38&gt;0,(H37)-(H37-H39)/12*B38," ")</f>
        <v xml:space="preserve"> </v>
      </c>
      <c r="I38" s="28"/>
      <c r="J38" s="20" t="str">
        <f>IF(B38&gt;0,(J37)-(J37-J39)/12*B38," ")</f>
        <v xml:space="preserve"> </v>
      </c>
      <c r="K38" s="30"/>
      <c r="L38" s="15" t="str">
        <f>IF(R13=17,IF(V13=0," ",IF(AA13=1,D38,IF(AA13=2,F38,IF(AA13=3,H38,IF(AA13=4,J38))))),"")</f>
        <v/>
      </c>
      <c r="M38" s="59"/>
      <c r="N38" s="59"/>
      <c r="O38" s="59"/>
      <c r="P38" s="59"/>
      <c r="Q38" s="1"/>
    </row>
    <row r="39" spans="1:43">
      <c r="A39" s="24" t="s">
        <v>14</v>
      </c>
      <c r="B39" s="25">
        <v>18</v>
      </c>
      <c r="C39" s="49">
        <v>21.35</v>
      </c>
      <c r="D39" s="27">
        <f>SUM(Z5)*C39/100</f>
        <v>11529</v>
      </c>
      <c r="E39" s="51">
        <v>23.22</v>
      </c>
      <c r="F39" s="27">
        <f>SUM(Z5)*E39/100</f>
        <v>12538.8</v>
      </c>
      <c r="G39" s="28">
        <v>24.75</v>
      </c>
      <c r="H39" s="27">
        <f>SUM(Z5)*G39/100</f>
        <v>13365</v>
      </c>
      <c r="I39" s="28">
        <v>25.42</v>
      </c>
      <c r="J39" s="27">
        <f>SUM(Z5)*I39/100</f>
        <v>13726.8</v>
      </c>
      <c r="K39" s="30"/>
      <c r="L39" s="15" t="str">
        <f>IF(R13=18,IF(V13&lt;&gt;0," ",IF(AA13=1,D39,IF(AA13=2,F39,IF(AA13=3,H39,IF(AA13=4,J39))))),"00")</f>
        <v>00</v>
      </c>
      <c r="M39" s="59"/>
      <c r="N39" s="59"/>
      <c r="O39" s="59"/>
      <c r="P39" s="59"/>
    </row>
    <row r="40" spans="1:43">
      <c r="A40" s="17" t="s">
        <v>9</v>
      </c>
      <c r="B40" s="18">
        <f>IF(R13=18,V13,0)</f>
        <v>0</v>
      </c>
      <c r="C40" s="49"/>
      <c r="D40" s="20" t="str">
        <f>IF(B40&gt;0,(D39)-(D39-D41)/12*B40," ")</f>
        <v xml:space="preserve"> </v>
      </c>
      <c r="E40" s="51"/>
      <c r="F40" s="20" t="str">
        <f>IF(B40&gt;0,(F39)-(F39-F41)/12*B40," ")</f>
        <v xml:space="preserve"> </v>
      </c>
      <c r="G40" s="28"/>
      <c r="H40" s="20" t="str">
        <f>IF(B40&gt;0,(H39)-(H39-H41)/12*B40," ")</f>
        <v xml:space="preserve"> </v>
      </c>
      <c r="I40" s="28"/>
      <c r="J40" s="20" t="str">
        <f>IF(B40&gt;0,(J39)-(J39-J41)/12*B40," ")</f>
        <v xml:space="preserve"> </v>
      </c>
      <c r="K40" s="30"/>
      <c r="L40" s="15" t="str">
        <f>IF(R13=18,IF(V13=0," ",IF(AA13=1,D40,IF(AA13=2,F40,IF(AA13=3,H40,IF(AA13=4,J40))))),"")</f>
        <v/>
      </c>
      <c r="M40" s="59"/>
      <c r="N40" s="59"/>
      <c r="O40" s="59"/>
      <c r="P40" s="59"/>
    </row>
    <row r="41" spans="1:43">
      <c r="A41" s="24" t="s">
        <v>14</v>
      </c>
      <c r="B41" s="25">
        <v>19</v>
      </c>
      <c r="C41" s="49">
        <v>21.08</v>
      </c>
      <c r="D41" s="27">
        <f>SUM(Z5)*C41/100</f>
        <v>11383.2</v>
      </c>
      <c r="E41" s="51">
        <v>22.77</v>
      </c>
      <c r="F41" s="27">
        <f>SUM(Z5)*E41/100</f>
        <v>12295.8</v>
      </c>
      <c r="G41" s="28">
        <v>24.04</v>
      </c>
      <c r="H41" s="27">
        <f>SUM(Z5)*G41/100</f>
        <v>12981.6</v>
      </c>
      <c r="I41" s="28">
        <v>24.88</v>
      </c>
      <c r="J41" s="27">
        <f>SUM(Z5)*I41/100</f>
        <v>13435.2</v>
      </c>
      <c r="K41" s="30"/>
      <c r="L41" s="15" t="str">
        <f>IF(R13=19,IF(V13&lt;&gt;0," ",IF(AA13=1,D41,IF(AA13=2,F41,IF(AA13=3,H41,IF(AA13=4,J41))))),"00")</f>
        <v>00</v>
      </c>
      <c r="M41" s="59"/>
      <c r="N41" s="59"/>
      <c r="O41" s="59"/>
      <c r="P41" s="59"/>
    </row>
    <row r="42" spans="1:43">
      <c r="A42" s="17" t="s">
        <v>9</v>
      </c>
      <c r="B42" s="18">
        <f>IF(R13=19,V13,0)</f>
        <v>0</v>
      </c>
      <c r="C42" s="49"/>
      <c r="D42" s="20" t="str">
        <f>IF(B42&gt;0,(D41)-(D41-D43)/12*B42," ")</f>
        <v xml:space="preserve"> </v>
      </c>
      <c r="E42" s="51"/>
      <c r="F42" s="20" t="str">
        <f>IF(B42&gt;0,(F41)-(F41-F43)/12*B42," ")</f>
        <v xml:space="preserve"> </v>
      </c>
      <c r="G42" s="28"/>
      <c r="H42" s="20" t="str">
        <f>IF(B42&gt;0,(H41)-(H41-H43)/12*B42," ")</f>
        <v xml:space="preserve"> </v>
      </c>
      <c r="I42" s="28"/>
      <c r="J42" s="20" t="str">
        <f>IF(B42&gt;0,(J41)-(J41-J43)/12*B42," ")</f>
        <v xml:space="preserve"> </v>
      </c>
      <c r="K42" s="30"/>
      <c r="L42" s="15" t="str">
        <f>IF(R13=19,IF(V13=0," ",IF(AA13=1,D42,IF(AA13=2,F42,IF(AA13=3,H42,IF(AA13=4,J42))))),"")</f>
        <v/>
      </c>
      <c r="M42" s="59"/>
      <c r="N42" s="59"/>
      <c r="O42" s="59"/>
      <c r="P42" s="59"/>
    </row>
    <row r="43" spans="1:43">
      <c r="A43" s="24" t="s">
        <v>14</v>
      </c>
      <c r="B43" s="25">
        <v>20</v>
      </c>
      <c r="C43" s="49">
        <v>20.86</v>
      </c>
      <c r="D43" s="27">
        <f>SUM(Z5)*C43/100</f>
        <v>11264.4</v>
      </c>
      <c r="E43" s="51">
        <v>22.4</v>
      </c>
      <c r="F43" s="27">
        <f>SUM(Z5)*E43/100</f>
        <v>12096</v>
      </c>
      <c r="G43" s="28">
        <v>23.42</v>
      </c>
      <c r="H43" s="27">
        <f>SUM(Z5)*G43/100</f>
        <v>12646.8</v>
      </c>
      <c r="I43" s="28">
        <v>24.39</v>
      </c>
      <c r="J43" s="27">
        <f>SUM(Z5)*I43/100</f>
        <v>13170.6</v>
      </c>
      <c r="K43" s="30"/>
      <c r="L43" s="15" t="str">
        <f>IF(R13=20,IF(V13&lt;&gt;0," ",IF(AA13=1,D43,IF(AA13=2,F43,IF(AA13=3,H43,IF(AA13=4,J43))))),"00")</f>
        <v>00</v>
      </c>
      <c r="M43" s="59"/>
      <c r="N43" s="59"/>
      <c r="O43" s="59"/>
      <c r="P43" s="59"/>
    </row>
    <row r="44" spans="1:4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6" spans="1:43">
      <c r="T46" s="60" t="s">
        <v>20</v>
      </c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</row>
    <row r="47" spans="1:43"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</row>
  </sheetData>
  <sheetProtection password="ED4B" sheet="1" objects="1" scenarios="1" selectLockedCells="1"/>
  <mergeCells count="31">
    <mergeCell ref="AF18:AJ19"/>
    <mergeCell ref="AF17:AJ17"/>
    <mergeCell ref="AF27:AJ28"/>
    <mergeCell ref="S27:X28"/>
    <mergeCell ref="T18:X19"/>
    <mergeCell ref="Q16:AA17"/>
    <mergeCell ref="Q25:Z26"/>
    <mergeCell ref="AA22:AD23"/>
    <mergeCell ref="Q23:Z23"/>
    <mergeCell ref="Q22:Z22"/>
    <mergeCell ref="V13:W14"/>
    <mergeCell ref="AJ15:AK15"/>
    <mergeCell ref="AJ16:AK16"/>
    <mergeCell ref="AC15:AG15"/>
    <mergeCell ref="AG13:AH14"/>
    <mergeCell ref="T46:AQ47"/>
    <mergeCell ref="A1:AN2"/>
    <mergeCell ref="Z4:AE4"/>
    <mergeCell ref="Z5:AE6"/>
    <mergeCell ref="T8:Z8"/>
    <mergeCell ref="L3:AA3"/>
    <mergeCell ref="AC8:AD8"/>
    <mergeCell ref="AC9:AD9"/>
    <mergeCell ref="T9:Z9"/>
    <mergeCell ref="T13:U14"/>
    <mergeCell ref="Q11:Y12"/>
    <mergeCell ref="AA13:AD14"/>
    <mergeCell ref="R13:S14"/>
    <mergeCell ref="Z11:AE12"/>
    <mergeCell ref="AC16:AG16"/>
    <mergeCell ref="X13:Y14"/>
  </mergeCells>
  <phoneticPr fontId="2" type="noConversion"/>
  <pageMargins left="0.19685039370078741" right="0.19685039370078741" top="0.19685039370078741" bottom="0.19685039370078741" header="0.51181102362204722" footer="0.51181102362204722"/>
  <pageSetup paperSize="9" orientation="landscape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Cabinet d'Expertise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HADRI</dc:creator>
  <cp:lastModifiedBy>HADRI</cp:lastModifiedBy>
  <cp:lastPrinted>2010-06-19T09:22:07Z</cp:lastPrinted>
  <dcterms:created xsi:type="dcterms:W3CDTF">2006-01-22T10:41:50Z</dcterms:created>
  <dcterms:modified xsi:type="dcterms:W3CDTF">2013-05-12T08:59:12Z</dcterms:modified>
</cp:coreProperties>
</file>