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795" windowHeight="12015"/>
  </bookViews>
  <sheets>
    <sheet name="LE CONSEILLER" sheetId="2" r:id="rId1"/>
    <sheet name="Feuil1" sheetId="1" state="hidden" r:id="rId2"/>
    <sheet name="Feuil2" sheetId="8" state="hidden" r:id="rId3"/>
  </sheets>
  <calcPr calcId="125725"/>
</workbook>
</file>

<file path=xl/calcChain.xml><?xml version="1.0" encoding="utf-8"?>
<calcChain xmlns="http://schemas.openxmlformats.org/spreadsheetml/2006/main">
  <c r="C98" i="2"/>
  <c r="B98"/>
  <c r="B13"/>
  <c r="C13"/>
  <c r="E4" i="8"/>
  <c r="E5"/>
  <c r="E6"/>
  <c r="E7"/>
  <c r="E8"/>
  <c r="E9"/>
  <c r="E10"/>
  <c r="E11"/>
  <c r="E12"/>
  <c r="E13"/>
  <c r="E3"/>
  <c r="Q141" i="2" l="1"/>
  <c r="Q139"/>
  <c r="Q137"/>
  <c r="P137"/>
  <c r="P139"/>
  <c r="P141"/>
  <c r="L141"/>
  <c r="L139"/>
  <c r="L137"/>
  <c r="B141" l="1"/>
  <c r="E106" i="1"/>
  <c r="E105"/>
  <c r="E104"/>
  <c r="E103"/>
  <c r="C5"/>
  <c r="B139" i="2"/>
  <c r="B137"/>
  <c r="D82" i="1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81"/>
  <c r="D80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58"/>
  <c r="D57"/>
  <c r="D36"/>
  <c r="Y36" s="1"/>
  <c r="D37"/>
  <c r="Y37" s="1"/>
  <c r="D38"/>
  <c r="Y38" s="1"/>
  <c r="D39"/>
  <c r="Y39" s="1"/>
  <c r="D40"/>
  <c r="Y40" s="1"/>
  <c r="D41"/>
  <c r="Y41" s="1"/>
  <c r="D42"/>
  <c r="Y42" s="1"/>
  <c r="D43"/>
  <c r="Y43" s="1"/>
  <c r="D44"/>
  <c r="Y44" s="1"/>
  <c r="D45"/>
  <c r="Y45" s="1"/>
  <c r="D46"/>
  <c r="Y46" s="1"/>
  <c r="D47"/>
  <c r="Y47" s="1"/>
  <c r="D48"/>
  <c r="Y48" s="1"/>
  <c r="D49"/>
  <c r="Y49" s="1"/>
  <c r="D50"/>
  <c r="Y50" s="1"/>
  <c r="D51"/>
  <c r="Y51" s="1"/>
  <c r="D52"/>
  <c r="Y52" s="1"/>
  <c r="D53"/>
  <c r="Y53" s="1"/>
  <c r="D54"/>
  <c r="Y54" s="1"/>
  <c r="D35"/>
  <c r="Y35" s="1"/>
  <c r="D34"/>
  <c r="Y34" s="1"/>
  <c r="C26" l="1"/>
  <c r="C25"/>
  <c r="C24"/>
  <c r="J24" s="1"/>
  <c r="C22"/>
  <c r="B13" i="8" s="1"/>
  <c r="C21" i="1"/>
  <c r="C20"/>
  <c r="C19"/>
  <c r="C18"/>
  <c r="B9" i="8" s="1"/>
  <c r="C17" i="1"/>
  <c r="B8" i="8" s="1"/>
  <c r="C16" i="1"/>
  <c r="C15"/>
  <c r="C14"/>
  <c r="C13"/>
  <c r="C12"/>
  <c r="C7"/>
  <c r="C4"/>
  <c r="C2"/>
  <c r="C3"/>
  <c r="C28" s="1"/>
  <c r="C29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I104"/>
  <c r="I105"/>
  <c r="I106"/>
  <c r="I103"/>
  <c r="H104"/>
  <c r="H105"/>
  <c r="H106"/>
  <c r="H103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80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57"/>
  <c r="T74"/>
  <c r="G74"/>
  <c r="H67" i="2" s="1"/>
  <c r="F74" i="1"/>
  <c r="G67" i="2" s="1"/>
  <c r="T73" i="1"/>
  <c r="G73"/>
  <c r="H66" i="2" s="1"/>
  <c r="F73" i="1"/>
  <c r="G66" i="2" s="1"/>
  <c r="T72" i="1"/>
  <c r="G72"/>
  <c r="H65" i="2" s="1"/>
  <c r="F72" i="1"/>
  <c r="G65" i="2" s="1"/>
  <c r="T71" i="1"/>
  <c r="T70"/>
  <c r="T69"/>
  <c r="T68"/>
  <c r="T67"/>
  <c r="T66"/>
  <c r="T65"/>
  <c r="T64"/>
  <c r="T63"/>
  <c r="T62"/>
  <c r="T61"/>
  <c r="T60"/>
  <c r="T59"/>
  <c r="T58"/>
  <c r="T57"/>
  <c r="T97"/>
  <c r="G97"/>
  <c r="H91" i="2" s="1"/>
  <c r="F97" i="1"/>
  <c r="G91" i="2" s="1"/>
  <c r="T96" i="1"/>
  <c r="G96"/>
  <c r="H90" i="2" s="1"/>
  <c r="F96" i="1"/>
  <c r="G90" i="2" s="1"/>
  <c r="T95" i="1"/>
  <c r="G95"/>
  <c r="H89" i="2" s="1"/>
  <c r="F95" i="1"/>
  <c r="G89" i="2" s="1"/>
  <c r="T94" i="1"/>
  <c r="T93"/>
  <c r="T92"/>
  <c r="T91"/>
  <c r="T90"/>
  <c r="T89"/>
  <c r="T88"/>
  <c r="T87"/>
  <c r="T86"/>
  <c r="T85"/>
  <c r="T84"/>
  <c r="T83"/>
  <c r="T82"/>
  <c r="T81"/>
  <c r="T80"/>
  <c r="J14"/>
  <c r="J16"/>
  <c r="K16"/>
  <c r="J17"/>
  <c r="K17"/>
  <c r="J18"/>
  <c r="K18"/>
  <c r="J22"/>
  <c r="K22"/>
  <c r="J25"/>
  <c r="K25"/>
  <c r="J26"/>
  <c r="K26"/>
  <c r="T35"/>
  <c r="T36"/>
  <c r="T37"/>
  <c r="T38"/>
  <c r="T39"/>
  <c r="T40"/>
  <c r="T41"/>
  <c r="T42"/>
  <c r="T43"/>
  <c r="T44"/>
  <c r="T45"/>
  <c r="T46"/>
  <c r="T47"/>
  <c r="T48"/>
  <c r="T49"/>
  <c r="T50"/>
  <c r="T51"/>
  <c r="T34"/>
  <c r="G49"/>
  <c r="H41" i="2" s="1"/>
  <c r="G50" i="1"/>
  <c r="H42" i="2" s="1"/>
  <c r="G51" i="1"/>
  <c r="H43" i="2" s="1"/>
  <c r="F49" i="1"/>
  <c r="G41" i="2" s="1"/>
  <c r="F50" i="1"/>
  <c r="G42" i="2" s="1"/>
  <c r="F51" i="1"/>
  <c r="G43" i="2" s="1"/>
  <c r="E26" i="1"/>
  <c r="E25"/>
  <c r="E24"/>
  <c r="E17"/>
  <c r="E18"/>
  <c r="E22"/>
  <c r="D17"/>
  <c r="M17" s="1"/>
  <c r="D18"/>
  <c r="M18" s="1"/>
  <c r="D22"/>
  <c r="M22" s="1"/>
  <c r="J13" l="1"/>
  <c r="B4" i="8"/>
  <c r="J15" i="1"/>
  <c r="B6" i="8"/>
  <c r="G8"/>
  <c r="H8" s="1"/>
  <c r="C8" s="1"/>
  <c r="J19" i="1"/>
  <c r="B10" i="8"/>
  <c r="J21" i="1"/>
  <c r="B12" i="8"/>
  <c r="E16" i="1"/>
  <c r="B7" i="8"/>
  <c r="G9"/>
  <c r="H9" s="1"/>
  <c r="C9" s="1"/>
  <c r="D20" i="1"/>
  <c r="M20" s="1"/>
  <c r="B11" i="8"/>
  <c r="G13"/>
  <c r="H13" s="1"/>
  <c r="C13" s="1"/>
  <c r="D14" i="1"/>
  <c r="M14" s="1"/>
  <c r="B5" i="8"/>
  <c r="D12" i="1"/>
  <c r="M12" s="1"/>
  <c r="B3" i="8"/>
  <c r="E21" i="1"/>
  <c r="D21"/>
  <c r="M21" s="1"/>
  <c r="K21"/>
  <c r="K14"/>
  <c r="E15"/>
  <c r="E14"/>
  <c r="E13"/>
  <c r="K13"/>
  <c r="J12"/>
  <c r="K12"/>
  <c r="E12"/>
  <c r="D19"/>
  <c r="M19" s="1"/>
  <c r="E19"/>
  <c r="K20"/>
  <c r="J20"/>
  <c r="D13"/>
  <c r="M13" s="1"/>
  <c r="D16"/>
  <c r="M16" s="1"/>
  <c r="K24"/>
  <c r="K19"/>
  <c r="K15"/>
  <c r="D15"/>
  <c r="M15" s="1"/>
  <c r="E20"/>
  <c r="C30"/>
  <c r="R100"/>
  <c r="E100" s="1"/>
  <c r="P100" s="1"/>
  <c r="R77"/>
  <c r="E77" s="1"/>
  <c r="S77" s="1"/>
  <c r="R54"/>
  <c r="E54" s="1"/>
  <c r="B19" i="2" l="1"/>
  <c r="K19"/>
  <c r="J8" i="8"/>
  <c r="L8"/>
  <c r="K8"/>
  <c r="M8"/>
  <c r="K9"/>
  <c r="J9"/>
  <c r="L9"/>
  <c r="M9"/>
  <c r="K13"/>
  <c r="J13"/>
  <c r="L13"/>
  <c r="G7"/>
  <c r="H7" s="1"/>
  <c r="C7" s="1"/>
  <c r="G12"/>
  <c r="H12" s="1"/>
  <c r="C12" s="1"/>
  <c r="M12" s="1"/>
  <c r="G10"/>
  <c r="H10" s="1"/>
  <c r="C10" s="1"/>
  <c r="M13"/>
  <c r="G11"/>
  <c r="H11" s="1"/>
  <c r="C11" s="1"/>
  <c r="M11" s="1"/>
  <c r="G6"/>
  <c r="H6" s="1"/>
  <c r="C6" s="1"/>
  <c r="G4"/>
  <c r="H4" s="1"/>
  <c r="C4" s="1"/>
  <c r="G5"/>
  <c r="H5" s="1"/>
  <c r="C5" s="1"/>
  <c r="M5" s="1"/>
  <c r="G3"/>
  <c r="H3" s="1"/>
  <c r="C3" s="1"/>
  <c r="M3" s="1"/>
  <c r="C8" i="1"/>
  <c r="C9" s="1"/>
  <c r="H128" i="2" s="1"/>
  <c r="O77" i="1"/>
  <c r="H77"/>
  <c r="C31"/>
  <c r="J19" i="2"/>
  <c r="R76" i="1"/>
  <c r="E76" s="1"/>
  <c r="P77"/>
  <c r="R99"/>
  <c r="E99" s="1"/>
  <c r="R98" s="1"/>
  <c r="H100"/>
  <c r="O100"/>
  <c r="S100"/>
  <c r="J100" s="1"/>
  <c r="U100" s="1"/>
  <c r="J77"/>
  <c r="U77" s="1"/>
  <c r="I77"/>
  <c r="O54"/>
  <c r="P54"/>
  <c r="S54"/>
  <c r="H54"/>
  <c r="R53"/>
  <c r="E53" s="1"/>
  <c r="M4" i="8" l="1"/>
  <c r="K4"/>
  <c r="J4"/>
  <c r="L4"/>
  <c r="K7"/>
  <c r="J7"/>
  <c r="L7"/>
  <c r="M7"/>
  <c r="J6"/>
  <c r="L6"/>
  <c r="K6"/>
  <c r="K11"/>
  <c r="J11"/>
  <c r="L11"/>
  <c r="J10"/>
  <c r="L10"/>
  <c r="K10"/>
  <c r="J12"/>
  <c r="L12"/>
  <c r="K12"/>
  <c r="M6"/>
  <c r="M10"/>
  <c r="K5"/>
  <c r="J5"/>
  <c r="L5"/>
  <c r="L3"/>
  <c r="J3"/>
  <c r="K3"/>
  <c r="R75" i="1"/>
  <c r="E75" s="1"/>
  <c r="I100"/>
  <c r="S76"/>
  <c r="H76"/>
  <c r="P76"/>
  <c r="O76"/>
  <c r="E98"/>
  <c r="S99"/>
  <c r="P99"/>
  <c r="O99"/>
  <c r="H99"/>
  <c r="P53"/>
  <c r="O53"/>
  <c r="I54"/>
  <c r="J54"/>
  <c r="U54" s="1"/>
  <c r="S53"/>
  <c r="H53"/>
  <c r="R52"/>
  <c r="E52" s="1"/>
  <c r="H17" i="8" l="1"/>
  <c r="O137" i="2" s="1"/>
  <c r="F17" i="8"/>
  <c r="D17"/>
  <c r="I137" i="2" s="1"/>
  <c r="G17" i="8"/>
  <c r="E17"/>
  <c r="I17" s="1"/>
  <c r="S137" i="2" s="1"/>
  <c r="C17" i="8"/>
  <c r="J137" i="2" s="1"/>
  <c r="H18" i="8"/>
  <c r="O139" i="2" s="1"/>
  <c r="F18" i="8"/>
  <c r="C18"/>
  <c r="J139" i="2" s="1"/>
  <c r="G18" i="8"/>
  <c r="E18"/>
  <c r="I18" s="1"/>
  <c r="S139" i="2" s="1"/>
  <c r="D18" i="8"/>
  <c r="I139" i="2" s="1"/>
  <c r="H19" i="8"/>
  <c r="O141" i="2" s="1"/>
  <c r="F19" i="8"/>
  <c r="D19"/>
  <c r="I141" i="2" s="1"/>
  <c r="G19" i="8"/>
  <c r="E19"/>
  <c r="I19" s="1"/>
  <c r="S141" i="2" s="1"/>
  <c r="C19" i="8"/>
  <c r="J141" i="2" s="1"/>
  <c r="J76" i="1"/>
  <c r="U76" s="1"/>
  <c r="I76"/>
  <c r="P75"/>
  <c r="O75"/>
  <c r="S75"/>
  <c r="H75"/>
  <c r="R74"/>
  <c r="J99"/>
  <c r="U99" s="1"/>
  <c r="I99"/>
  <c r="H98"/>
  <c r="P98"/>
  <c r="O98"/>
  <c r="S98"/>
  <c r="R97"/>
  <c r="S52"/>
  <c r="I52" s="1"/>
  <c r="O52"/>
  <c r="P52"/>
  <c r="I53"/>
  <c r="J53"/>
  <c r="U53" s="1"/>
  <c r="R51"/>
  <c r="E51" s="1"/>
  <c r="H52"/>
  <c r="J52" l="1"/>
  <c r="U52" s="1"/>
  <c r="I75"/>
  <c r="J75"/>
  <c r="U75" s="1"/>
  <c r="E74"/>
  <c r="R73" s="1"/>
  <c r="J98"/>
  <c r="U98" s="1"/>
  <c r="I98"/>
  <c r="E97"/>
  <c r="R96" s="1"/>
  <c r="S51"/>
  <c r="H51" s="1"/>
  <c r="O51"/>
  <c r="P51"/>
  <c r="R50"/>
  <c r="E50" s="1"/>
  <c r="I51" l="1"/>
  <c r="J51"/>
  <c r="U51" s="1"/>
  <c r="E73"/>
  <c r="R72" s="1"/>
  <c r="P74"/>
  <c r="S74"/>
  <c r="O74"/>
  <c r="E96"/>
  <c r="S97"/>
  <c r="P97"/>
  <c r="O97"/>
  <c r="S50"/>
  <c r="J50" s="1"/>
  <c r="U50" s="1"/>
  <c r="O50"/>
  <c r="P50"/>
  <c r="R49"/>
  <c r="E49" s="1"/>
  <c r="I74" l="1"/>
  <c r="H74"/>
  <c r="J74"/>
  <c r="U74" s="1"/>
  <c r="E72"/>
  <c r="P73"/>
  <c r="O73"/>
  <c r="S73"/>
  <c r="I97"/>
  <c r="J97"/>
  <c r="U97" s="1"/>
  <c r="H97"/>
  <c r="P96"/>
  <c r="O96"/>
  <c r="S96"/>
  <c r="R95"/>
  <c r="H50"/>
  <c r="I50"/>
  <c r="S49"/>
  <c r="I49" s="1"/>
  <c r="O49"/>
  <c r="P49"/>
  <c r="R48"/>
  <c r="E48" s="1"/>
  <c r="S72" l="1"/>
  <c r="O72"/>
  <c r="P72"/>
  <c r="R71"/>
  <c r="H73"/>
  <c r="J73"/>
  <c r="U73" s="1"/>
  <c r="I73"/>
  <c r="H96"/>
  <c r="J96"/>
  <c r="U96" s="1"/>
  <c r="I96"/>
  <c r="E95"/>
  <c r="H49"/>
  <c r="J49"/>
  <c r="U49" s="1"/>
  <c r="S48"/>
  <c r="I48" s="1"/>
  <c r="G48" s="1"/>
  <c r="H40" i="2" s="1"/>
  <c r="P48" i="1"/>
  <c r="O48"/>
  <c r="R47"/>
  <c r="E47" s="1"/>
  <c r="J48" l="1"/>
  <c r="U48" s="1"/>
  <c r="J72"/>
  <c r="U72" s="1"/>
  <c r="I72"/>
  <c r="H72"/>
  <c r="E71"/>
  <c r="O95"/>
  <c r="S95"/>
  <c r="P95"/>
  <c r="R94"/>
  <c r="H48"/>
  <c r="F48" s="1"/>
  <c r="G40" i="2" s="1"/>
  <c r="S47" i="1"/>
  <c r="H47" s="1"/>
  <c r="F47" s="1"/>
  <c r="G39" i="2" s="1"/>
  <c r="O47" i="1"/>
  <c r="P47"/>
  <c r="R46"/>
  <c r="E46" s="1"/>
  <c r="J47" l="1"/>
  <c r="U47" s="1"/>
  <c r="I47"/>
  <c r="G47" s="1"/>
  <c r="H39" i="2" s="1"/>
  <c r="S71" i="1"/>
  <c r="O71"/>
  <c r="P71"/>
  <c r="R70"/>
  <c r="E94"/>
  <c r="J95"/>
  <c r="U95" s="1"/>
  <c r="I95"/>
  <c r="H95"/>
  <c r="S46"/>
  <c r="H46" s="1"/>
  <c r="P46"/>
  <c r="O46"/>
  <c r="R45"/>
  <c r="E45" s="1"/>
  <c r="F46" l="1"/>
  <c r="G38" i="2" s="1"/>
  <c r="I46" i="1"/>
  <c r="G46" s="1"/>
  <c r="H38" i="2" s="1"/>
  <c r="J46" i="1"/>
  <c r="U46" s="1"/>
  <c r="E70"/>
  <c r="O70" s="1"/>
  <c r="I71"/>
  <c r="G71" s="1"/>
  <c r="H64" i="2" s="1"/>
  <c r="J71" i="1"/>
  <c r="U71" s="1"/>
  <c r="H71"/>
  <c r="F71" s="1"/>
  <c r="G64" i="2" s="1"/>
  <c r="O94" i="1"/>
  <c r="S94"/>
  <c r="P94"/>
  <c r="R93"/>
  <c r="S45"/>
  <c r="H45" s="1"/>
  <c r="O45"/>
  <c r="P45"/>
  <c r="R44"/>
  <c r="E44" s="1"/>
  <c r="F45" l="1"/>
  <c r="G37" i="2" s="1"/>
  <c r="R69" i="1"/>
  <c r="E69" s="1"/>
  <c r="J45"/>
  <c r="U45" s="1"/>
  <c r="I45"/>
  <c r="G45" s="1"/>
  <c r="H37" i="2" s="1"/>
  <c r="P70" i="1"/>
  <c r="S70"/>
  <c r="E93"/>
  <c r="J94"/>
  <c r="U94" s="1"/>
  <c r="I94"/>
  <c r="G94" s="1"/>
  <c r="H88" i="2" s="1"/>
  <c r="H94" i="1"/>
  <c r="F94" s="1"/>
  <c r="G88" i="2" s="1"/>
  <c r="S44" i="1"/>
  <c r="H44" s="1"/>
  <c r="O44"/>
  <c r="P44"/>
  <c r="R43"/>
  <c r="E43" s="1"/>
  <c r="F44" l="1"/>
  <c r="G36" i="2" s="1"/>
  <c r="J44" i="1"/>
  <c r="U44" s="1"/>
  <c r="I44"/>
  <c r="G44" s="1"/>
  <c r="H36" i="2" s="1"/>
  <c r="I70" i="1"/>
  <c r="G70" s="1"/>
  <c r="H63" i="2" s="1"/>
  <c r="J70" i="1"/>
  <c r="U70" s="1"/>
  <c r="H70"/>
  <c r="F70" s="1"/>
  <c r="G63" i="2" s="1"/>
  <c r="P69" i="1"/>
  <c r="O69"/>
  <c r="S69"/>
  <c r="R68"/>
  <c r="P93"/>
  <c r="O93"/>
  <c r="S93"/>
  <c r="R92"/>
  <c r="S43"/>
  <c r="H43" s="1"/>
  <c r="O43"/>
  <c r="P43"/>
  <c r="R42"/>
  <c r="E42" s="1"/>
  <c r="F43" l="1"/>
  <c r="G35" i="2" s="1"/>
  <c r="J43" i="1"/>
  <c r="U43" s="1"/>
  <c r="I43"/>
  <c r="G43" s="1"/>
  <c r="H35" i="2" s="1"/>
  <c r="H69" i="1"/>
  <c r="F69" s="1"/>
  <c r="G62" i="2" s="1"/>
  <c r="J69" i="1"/>
  <c r="U69" s="1"/>
  <c r="I69"/>
  <c r="G69" s="1"/>
  <c r="H62" i="2" s="1"/>
  <c r="E68" i="1"/>
  <c r="E92"/>
  <c r="I93"/>
  <c r="G93" s="1"/>
  <c r="H87" i="2" s="1"/>
  <c r="J93" i="1"/>
  <c r="U93" s="1"/>
  <c r="H93"/>
  <c r="F93" s="1"/>
  <c r="G87" i="2" s="1"/>
  <c r="S42" i="1"/>
  <c r="H42" s="1"/>
  <c r="O42"/>
  <c r="P42"/>
  <c r="R41"/>
  <c r="E41" s="1"/>
  <c r="F42" l="1"/>
  <c r="G34" i="2" s="1"/>
  <c r="I42" i="1"/>
  <c r="G42" s="1"/>
  <c r="H34" i="2" s="1"/>
  <c r="J42" i="1"/>
  <c r="U42" s="1"/>
  <c r="O68"/>
  <c r="S68"/>
  <c r="P68"/>
  <c r="R67"/>
  <c r="S92"/>
  <c r="P92"/>
  <c r="O92"/>
  <c r="R91"/>
  <c r="S41"/>
  <c r="I41" s="1"/>
  <c r="G41" s="1"/>
  <c r="H33" i="2" s="1"/>
  <c r="O41" i="1"/>
  <c r="P41"/>
  <c r="R40"/>
  <c r="E40" s="1"/>
  <c r="J41" l="1"/>
  <c r="U41" s="1"/>
  <c r="H41"/>
  <c r="E67"/>
  <c r="J68"/>
  <c r="U68" s="1"/>
  <c r="I68"/>
  <c r="G68" s="1"/>
  <c r="H61" i="2" s="1"/>
  <c r="H68" i="1"/>
  <c r="F68" s="1"/>
  <c r="G61" i="2" s="1"/>
  <c r="E91" i="1"/>
  <c r="H92"/>
  <c r="F92" s="1"/>
  <c r="G86" i="2" s="1"/>
  <c r="I92" i="1"/>
  <c r="G92" s="1"/>
  <c r="H86" i="2" s="1"/>
  <c r="J92" i="1"/>
  <c r="U92" s="1"/>
  <c r="S40"/>
  <c r="H40" s="1"/>
  <c r="P40"/>
  <c r="O40"/>
  <c r="R39"/>
  <c r="E39" s="1"/>
  <c r="F40" l="1"/>
  <c r="G32" i="2" s="1"/>
  <c r="F41" i="1"/>
  <c r="G33" i="2" s="1"/>
  <c r="I40" i="1"/>
  <c r="G40" s="1"/>
  <c r="H32" i="2" s="1"/>
  <c r="J40" i="1"/>
  <c r="U40" s="1"/>
  <c r="S67"/>
  <c r="P67"/>
  <c r="O67"/>
  <c r="R66"/>
  <c r="S91"/>
  <c r="O91"/>
  <c r="P91"/>
  <c r="R90"/>
  <c r="S39"/>
  <c r="J39" s="1"/>
  <c r="U39" s="1"/>
  <c r="P39"/>
  <c r="O39"/>
  <c r="R38"/>
  <c r="E38" s="1"/>
  <c r="H39" l="1"/>
  <c r="I39"/>
  <c r="G39" s="1"/>
  <c r="H31" i="2" s="1"/>
  <c r="E66" i="1"/>
  <c r="R65" s="1"/>
  <c r="J67"/>
  <c r="U67" s="1"/>
  <c r="I67"/>
  <c r="G67" s="1"/>
  <c r="H60" i="2" s="1"/>
  <c r="H67" i="1"/>
  <c r="F67" s="1"/>
  <c r="G60" i="2" s="1"/>
  <c r="E90" i="1"/>
  <c r="I91"/>
  <c r="G91" s="1"/>
  <c r="H85" i="2" s="1"/>
  <c r="H91" i="1"/>
  <c r="F91" s="1"/>
  <c r="G85" i="2" s="1"/>
  <c r="J91" i="1"/>
  <c r="U91" s="1"/>
  <c r="S38"/>
  <c r="H38" s="1"/>
  <c r="O38"/>
  <c r="P38"/>
  <c r="R37"/>
  <c r="E37" s="1"/>
  <c r="F38" l="1"/>
  <c r="G30" i="2" s="1"/>
  <c r="F39" i="1"/>
  <c r="G31" i="2" s="1"/>
  <c r="I38" i="1"/>
  <c r="G38" s="1"/>
  <c r="H30" i="2" s="1"/>
  <c r="J38" i="1"/>
  <c r="U38" s="1"/>
  <c r="E65"/>
  <c r="P66"/>
  <c r="S66"/>
  <c r="O66"/>
  <c r="S90"/>
  <c r="P90"/>
  <c r="O90"/>
  <c r="R89"/>
  <c r="S37"/>
  <c r="H37" s="1"/>
  <c r="O37"/>
  <c r="P37"/>
  <c r="R36"/>
  <c r="E36" s="1"/>
  <c r="F37" l="1"/>
  <c r="G29" i="2" s="1"/>
  <c r="J37" i="1"/>
  <c r="U37" s="1"/>
  <c r="I37"/>
  <c r="G37" s="1"/>
  <c r="H29" i="2" s="1"/>
  <c r="I66" i="1"/>
  <c r="G66" s="1"/>
  <c r="H59" i="2" s="1"/>
  <c r="H66" i="1"/>
  <c r="F66" s="1"/>
  <c r="G59" i="2" s="1"/>
  <c r="J66" i="1"/>
  <c r="U66" s="1"/>
  <c r="O65"/>
  <c r="P65"/>
  <c r="S65"/>
  <c r="R64"/>
  <c r="E89"/>
  <c r="R88" s="1"/>
  <c r="J90"/>
  <c r="U90" s="1"/>
  <c r="I90"/>
  <c r="G90" s="1"/>
  <c r="H84" i="2" s="1"/>
  <c r="H90" i="1"/>
  <c r="F90" s="1"/>
  <c r="G84" i="2" s="1"/>
  <c r="S36" i="1"/>
  <c r="J36" s="1"/>
  <c r="U36" s="1"/>
  <c r="O36"/>
  <c r="P36"/>
  <c r="R35"/>
  <c r="E35" s="1"/>
  <c r="H36" l="1"/>
  <c r="I36"/>
  <c r="G36" s="1"/>
  <c r="H28" i="2" s="1"/>
  <c r="H65" i="1"/>
  <c r="F65" s="1"/>
  <c r="G58" i="2" s="1"/>
  <c r="J65" i="1"/>
  <c r="U65" s="1"/>
  <c r="I65"/>
  <c r="G65" s="1"/>
  <c r="H58" i="2" s="1"/>
  <c r="E64" i="1"/>
  <c r="E88"/>
  <c r="P89"/>
  <c r="O89"/>
  <c r="S89"/>
  <c r="S35"/>
  <c r="H35" s="1"/>
  <c r="O35"/>
  <c r="P35"/>
  <c r="R34"/>
  <c r="E34" s="1"/>
  <c r="F35" l="1"/>
  <c r="G27" i="2" s="1"/>
  <c r="F36" i="1"/>
  <c r="G28" i="2" s="1"/>
  <c r="J35" i="1"/>
  <c r="U35" s="1"/>
  <c r="I35"/>
  <c r="G35" s="1"/>
  <c r="H27" i="2" s="1"/>
  <c r="O64" i="1"/>
  <c r="S64"/>
  <c r="P64"/>
  <c r="R63"/>
  <c r="J89"/>
  <c r="U89" s="1"/>
  <c r="I89"/>
  <c r="G89" s="1"/>
  <c r="H83" i="2" s="1"/>
  <c r="H89" i="1"/>
  <c r="F89" s="1"/>
  <c r="G83" i="2" s="1"/>
  <c r="P88" i="1"/>
  <c r="O88"/>
  <c r="S88"/>
  <c r="R87"/>
  <c r="S34"/>
  <c r="H34" s="1"/>
  <c r="P34"/>
  <c r="O34"/>
  <c r="F34" l="1"/>
  <c r="G26" i="2" s="1"/>
  <c r="I34" i="1"/>
  <c r="G34" s="1"/>
  <c r="H26" i="2" s="1"/>
  <c r="J34" i="1"/>
  <c r="U34" s="1"/>
  <c r="V34" s="1"/>
  <c r="E63"/>
  <c r="J64"/>
  <c r="U64" s="1"/>
  <c r="I64"/>
  <c r="G64" s="1"/>
  <c r="H57" i="2" s="1"/>
  <c r="H64" i="1"/>
  <c r="F64" s="1"/>
  <c r="G57" i="2" s="1"/>
  <c r="J88" i="1"/>
  <c r="U88" s="1"/>
  <c r="I88"/>
  <c r="G88" s="1"/>
  <c r="H82" i="2" s="1"/>
  <c r="H88" i="1"/>
  <c r="F88" s="1"/>
  <c r="G82" i="2" s="1"/>
  <c r="E87" i="1"/>
  <c r="R86" s="1"/>
  <c r="S63" l="1"/>
  <c r="O63"/>
  <c r="P63"/>
  <c r="R62"/>
  <c r="E86"/>
  <c r="R85" s="1"/>
  <c r="O87"/>
  <c r="S87"/>
  <c r="P87"/>
  <c r="E62" l="1"/>
  <c r="R61" s="1"/>
  <c r="J63"/>
  <c r="U63" s="1"/>
  <c r="H63"/>
  <c r="F63" s="1"/>
  <c r="G56" i="2" s="1"/>
  <c r="I63" i="1"/>
  <c r="G63" s="1"/>
  <c r="H56" i="2" s="1"/>
  <c r="J87" i="1"/>
  <c r="U87" s="1"/>
  <c r="I87"/>
  <c r="G87" s="1"/>
  <c r="H81" i="2" s="1"/>
  <c r="H87" i="1"/>
  <c r="F87" s="1"/>
  <c r="G81" i="2" s="1"/>
  <c r="E85" i="1"/>
  <c r="S86"/>
  <c r="P86"/>
  <c r="O86"/>
  <c r="E61" l="1"/>
  <c r="P62"/>
  <c r="O62"/>
  <c r="S62"/>
  <c r="J86"/>
  <c r="U86" s="1"/>
  <c r="I86"/>
  <c r="G86" s="1"/>
  <c r="H80" i="2" s="1"/>
  <c r="H86" i="1"/>
  <c r="F86" s="1"/>
  <c r="G80" i="2" s="1"/>
  <c r="P85" i="1"/>
  <c r="O85"/>
  <c r="S85"/>
  <c r="R84"/>
  <c r="J62" l="1"/>
  <c r="U62" s="1"/>
  <c r="I62"/>
  <c r="G62" s="1"/>
  <c r="H55" i="2" s="1"/>
  <c r="H62" i="1"/>
  <c r="F62" s="1"/>
  <c r="G55" i="2" s="1"/>
  <c r="P61" i="1"/>
  <c r="O61"/>
  <c r="S61"/>
  <c r="R60"/>
  <c r="I85"/>
  <c r="G85" s="1"/>
  <c r="H79" i="2" s="1"/>
  <c r="H85" i="1"/>
  <c r="F85" s="1"/>
  <c r="G79" i="2" s="1"/>
  <c r="J85" i="1"/>
  <c r="U85" s="1"/>
  <c r="E84"/>
  <c r="I61" l="1"/>
  <c r="G61" s="1"/>
  <c r="H54" i="2" s="1"/>
  <c r="H61" i="1"/>
  <c r="F61" s="1"/>
  <c r="G54" i="2" s="1"/>
  <c r="J61" i="1"/>
  <c r="U61" s="1"/>
  <c r="E60"/>
  <c r="O84"/>
  <c r="S84"/>
  <c r="P84"/>
  <c r="R83"/>
  <c r="O60" l="1"/>
  <c r="S60"/>
  <c r="P60"/>
  <c r="R59"/>
  <c r="H84"/>
  <c r="F84" s="1"/>
  <c r="G78" i="2" s="1"/>
  <c r="I84" i="1"/>
  <c r="G84" s="1"/>
  <c r="H78" i="2" s="1"/>
  <c r="J84" i="1"/>
  <c r="U84" s="1"/>
  <c r="E83"/>
  <c r="E59" l="1"/>
  <c r="J60"/>
  <c r="U60" s="1"/>
  <c r="H60"/>
  <c r="F60" s="1"/>
  <c r="G53" i="2" s="1"/>
  <c r="I60" i="1"/>
  <c r="G60" s="1"/>
  <c r="H53" i="2" s="1"/>
  <c r="S83" i="1"/>
  <c r="P83"/>
  <c r="O83"/>
  <c r="R82"/>
  <c r="S59" l="1"/>
  <c r="P59"/>
  <c r="O59"/>
  <c r="R58"/>
  <c r="H83"/>
  <c r="F83" s="1"/>
  <c r="G77" i="2" s="1"/>
  <c r="J83" i="1"/>
  <c r="U83" s="1"/>
  <c r="I83"/>
  <c r="G83" s="1"/>
  <c r="H77" i="2" s="1"/>
  <c r="E82" i="1"/>
  <c r="E58" l="1"/>
  <c r="J59"/>
  <c r="U59" s="1"/>
  <c r="I59"/>
  <c r="G59" s="1"/>
  <c r="H52" i="2" s="1"/>
  <c r="H59" i="1"/>
  <c r="F59" s="1"/>
  <c r="G52" i="2" s="1"/>
  <c r="S82" i="1"/>
  <c r="P82"/>
  <c r="O82"/>
  <c r="R81"/>
  <c r="S58" l="1"/>
  <c r="P58"/>
  <c r="O58"/>
  <c r="R57"/>
  <c r="E57" s="1"/>
  <c r="I82"/>
  <c r="G82" s="1"/>
  <c r="H76" i="2" s="1"/>
  <c r="J82" i="1"/>
  <c r="U82" s="1"/>
  <c r="H82"/>
  <c r="F82" s="1"/>
  <c r="G76" i="2" s="1"/>
  <c r="E81" i="1"/>
  <c r="R80" s="1"/>
  <c r="E80" s="1"/>
  <c r="S57" l="1"/>
  <c r="O57"/>
  <c r="P57"/>
  <c r="I58"/>
  <c r="G58" s="1"/>
  <c r="H51" i="2" s="1"/>
  <c r="H58" i="1"/>
  <c r="F58" s="1"/>
  <c r="G51" i="2" s="1"/>
  <c r="J58" i="1"/>
  <c r="U58" s="1"/>
  <c r="P80"/>
  <c r="O80"/>
  <c r="S80"/>
  <c r="P81"/>
  <c r="O81"/>
  <c r="S81"/>
  <c r="F30" l="1"/>
  <c r="F29"/>
  <c r="I57"/>
  <c r="G57" s="1"/>
  <c r="H57"/>
  <c r="F57" s="1"/>
  <c r="G50" i="2" s="1"/>
  <c r="J57" i="1"/>
  <c r="U57" s="1"/>
  <c r="V57" s="1"/>
  <c r="H80"/>
  <c r="F80" s="1"/>
  <c r="G74" i="2" s="1"/>
  <c r="J80" i="1"/>
  <c r="U80" s="1"/>
  <c r="I80"/>
  <c r="G80" s="1"/>
  <c r="H74" i="2" s="1"/>
  <c r="H81" i="1"/>
  <c r="F81" s="1"/>
  <c r="G75" i="2" s="1"/>
  <c r="J81" i="1"/>
  <c r="U81" s="1"/>
  <c r="I81"/>
  <c r="G81" s="1"/>
  <c r="H75" i="2" s="1"/>
  <c r="H50" l="1"/>
  <c r="V80" i="1"/>
  <c r="E4" s="1"/>
  <c r="X49"/>
  <c r="X91"/>
  <c r="X64"/>
  <c r="X88"/>
  <c r="X47"/>
  <c r="X35"/>
  <c r="X94"/>
  <c r="X65"/>
  <c r="X43"/>
  <c r="X45"/>
  <c r="X38"/>
  <c r="X92"/>
  <c r="X36"/>
  <c r="X41"/>
  <c r="X89"/>
  <c r="X67"/>
  <c r="X46"/>
  <c r="X58"/>
  <c r="X59"/>
  <c r="X69"/>
  <c r="X95" l="1"/>
  <c r="H130" i="2"/>
  <c r="X60" i="1"/>
  <c r="X37"/>
  <c r="X73"/>
  <c r="X40"/>
  <c r="X84"/>
  <c r="X80"/>
  <c r="X66"/>
  <c r="X50"/>
  <c r="X85"/>
  <c r="X72"/>
  <c r="X82"/>
  <c r="X81"/>
  <c r="X96"/>
  <c r="X90"/>
  <c r="X74"/>
  <c r="X71"/>
  <c r="X34"/>
  <c r="X39"/>
  <c r="X83"/>
  <c r="X87"/>
  <c r="X48"/>
  <c r="X62"/>
  <c r="X97"/>
  <c r="X57"/>
  <c r="X93"/>
  <c r="X63"/>
  <c r="X42"/>
  <c r="X61"/>
  <c r="X51"/>
  <c r="X70"/>
  <c r="X44"/>
  <c r="X86"/>
  <c r="X68"/>
</calcChain>
</file>

<file path=xl/sharedStrings.xml><?xml version="1.0" encoding="utf-8"?>
<sst xmlns="http://schemas.openxmlformats.org/spreadsheetml/2006/main" count="299" uniqueCount="162">
  <si>
    <t>JOUEUR</t>
  </si>
  <si>
    <t>NIVEAU</t>
  </si>
  <si>
    <t>BONUS D'IMPOT (%)</t>
  </si>
  <si>
    <t>REVENU DES VASSAUX</t>
  </si>
  <si>
    <t>REVENU TOTAL</t>
  </si>
  <si>
    <t>VASSAUX</t>
  </si>
  <si>
    <t>Bourreau</t>
  </si>
  <si>
    <t>MENDIANT</t>
  </si>
  <si>
    <t>PAYSAN</t>
  </si>
  <si>
    <t>FOU</t>
  </si>
  <si>
    <t>BOURREAU</t>
  </si>
  <si>
    <t>MOINE</t>
  </si>
  <si>
    <t>ALCHIMISTE</t>
  </si>
  <si>
    <t>ECUYER</t>
  </si>
  <si>
    <t>MARCHAND</t>
  </si>
  <si>
    <t>CHEVALIER</t>
  </si>
  <si>
    <t>EVEQUE</t>
  </si>
  <si>
    <t>SEIGNEUR</t>
  </si>
  <si>
    <t>COUT</t>
  </si>
  <si>
    <t>ATTAQUE</t>
  </si>
  <si>
    <t>DEFENSE</t>
  </si>
  <si>
    <t>NOMBRE</t>
  </si>
  <si>
    <t>PAS</t>
  </si>
  <si>
    <t>REVENUS</t>
  </si>
  <si>
    <t>IMPOT</t>
  </si>
  <si>
    <t>BARDE</t>
  </si>
  <si>
    <t>MAITRE DE GUILDE</t>
  </si>
  <si>
    <t>MAITRE EN ESPIONNAGE</t>
  </si>
  <si>
    <t>TRESORERIE</t>
  </si>
  <si>
    <t>ORDRE REQUIS</t>
  </si>
  <si>
    <t>ORDRE ACTUEL</t>
  </si>
  <si>
    <t>CALCUL ORDRE</t>
  </si>
  <si>
    <t>A RECRUTER</t>
  </si>
  <si>
    <t>RUBIS</t>
  </si>
  <si>
    <t>ARMES</t>
  </si>
  <si>
    <t>Epée d'entraînement</t>
  </si>
  <si>
    <t>Couteau à pain</t>
  </si>
  <si>
    <t>Lame rouillée</t>
  </si>
  <si>
    <t>Sabre émoussé</t>
  </si>
  <si>
    <t>Poignard simple</t>
  </si>
  <si>
    <t>Epée courte et solide</t>
  </si>
  <si>
    <t>Hache tranchante</t>
  </si>
  <si>
    <t>Hache de jet</t>
  </si>
  <si>
    <t>Hallebarde</t>
  </si>
  <si>
    <t>Etoile du matin</t>
  </si>
  <si>
    <t>Arbalète</t>
  </si>
  <si>
    <t>A deux mains</t>
  </si>
  <si>
    <t>Marteau de guerre</t>
  </si>
  <si>
    <t>Hache de bataille</t>
  </si>
  <si>
    <t>Poignard empoisonné</t>
  </si>
  <si>
    <t>Lame de maître</t>
  </si>
  <si>
    <t>Bec de corbeau</t>
  </si>
  <si>
    <t>Claymore</t>
  </si>
  <si>
    <t>Lance de cavalier</t>
  </si>
  <si>
    <t>Pointe de feu</t>
  </si>
  <si>
    <t>MINI QUETES</t>
  </si>
  <si>
    <t>UTIL. COMBAT</t>
  </si>
  <si>
    <t>CALC COMBAT</t>
  </si>
  <si>
    <t>NIV. REQUIS</t>
  </si>
  <si>
    <t>CALC ACTION</t>
  </si>
  <si>
    <t>ACTION SUGGEREE</t>
  </si>
  <si>
    <t>CALC ACTION SUGGEREE</t>
  </si>
  <si>
    <t>REVENTE</t>
  </si>
  <si>
    <t>CALC REVENTE</t>
  </si>
  <si>
    <t>TOTAL REVENTE</t>
  </si>
  <si>
    <t>NIVEAU D'ATTAQUE</t>
  </si>
  <si>
    <t>NIVEAU DE DEFENSE</t>
  </si>
  <si>
    <t>CALC ATTAQUE</t>
  </si>
  <si>
    <t>CALC DEFENSE</t>
  </si>
  <si>
    <t>avec reventes</t>
  </si>
  <si>
    <t>ACHAT POSSIBLE</t>
  </si>
  <si>
    <t>ACHAT ARRONDI</t>
  </si>
  <si>
    <t>BOUCLIERS</t>
  </si>
  <si>
    <t>Couvercle de tonneau</t>
  </si>
  <si>
    <t>Bouclier en bois pourri</t>
  </si>
  <si>
    <t>Disque rouillé</t>
  </si>
  <si>
    <t>Clôture en planches</t>
  </si>
  <si>
    <t>Bouclier rond simple</t>
  </si>
  <si>
    <t>Bouclier en métal</t>
  </si>
  <si>
    <t>Protecteur</t>
  </si>
  <si>
    <t>Bouclier de chevalier</t>
  </si>
  <si>
    <t>Bouclier renforcé</t>
  </si>
  <si>
    <t>Garde de bronze</t>
  </si>
  <si>
    <t>Bouclier de sentinelle</t>
  </si>
  <si>
    <t>Bouclier d'aigle</t>
  </si>
  <si>
    <t>Bouclier de phalange</t>
  </si>
  <si>
    <t>Bouclier runique</t>
  </si>
  <si>
    <t>Blason de flammes</t>
  </si>
  <si>
    <t>Blason d'honneur</t>
  </si>
  <si>
    <t>Barrière de flèches</t>
  </si>
  <si>
    <t>Bouclier de lumière</t>
  </si>
  <si>
    <t>Bouclier Blason</t>
  </si>
  <si>
    <t>Rocher d'acier</t>
  </si>
  <si>
    <t>Garde de lune</t>
  </si>
  <si>
    <t>Guenille</t>
  </si>
  <si>
    <t>Pantalon en lambeaux</t>
  </si>
  <si>
    <t>Vieille ceinture</t>
  </si>
  <si>
    <t>Gilet jauni</t>
  </si>
  <si>
    <t>Bonnet en cuir</t>
  </si>
  <si>
    <t>Gants en peau</t>
  </si>
  <si>
    <t>Gilet riveté</t>
  </si>
  <si>
    <t>Casque casserole</t>
  </si>
  <si>
    <t>Protection des avant-bras</t>
  </si>
  <si>
    <t>Couvercle de chaudron</t>
  </si>
  <si>
    <t>Cotte de maille</t>
  </si>
  <si>
    <t>Chaussures en fer</t>
  </si>
  <si>
    <t>Brigandine</t>
  </si>
  <si>
    <t>Casque à visière</t>
  </si>
  <si>
    <t>Protection en acier</t>
  </si>
  <si>
    <t>Armure écaille</t>
  </si>
  <si>
    <t>Gorgerin</t>
  </si>
  <si>
    <t>Armure de Maximilien</t>
  </si>
  <si>
    <t>Armure de parade</t>
  </si>
  <si>
    <t>Peau de pierre</t>
  </si>
  <si>
    <t>Firinn</t>
  </si>
  <si>
    <t>Martinet</t>
  </si>
  <si>
    <t>Etendard de bataille de Bellum</t>
  </si>
  <si>
    <t>Hache de brigand</t>
  </si>
  <si>
    <t>Gantelet</t>
  </si>
  <si>
    <t>OBJETS UNIQUES</t>
  </si>
  <si>
    <t>CALC ATT</t>
  </si>
  <si>
    <t>CALC DEF</t>
  </si>
  <si>
    <t>INVESTISSEMENT ENVISAGE</t>
  </si>
  <si>
    <t>Bienvenu mon Seigneur.</t>
  </si>
  <si>
    <t>Je suis votre humble conseiller et je vais essayer de vous aider au mieux pour la gestion de votre royaume.</t>
  </si>
  <si>
    <t>Permettez-moi tout d'abord de vous demander votre nom :</t>
  </si>
  <si>
    <t>Pour vous aider au mieux il me faut connaître votre niveau :</t>
  </si>
  <si>
    <t>ainsi que le nombre de preux chevaliers qui composent votre ordre :</t>
  </si>
  <si>
    <t>Pardonnez cette question mais, êtes-vous un homme (1) ou une femme (2) ?</t>
  </si>
  <si>
    <t>Pouvez-vous m'indiquer le montant actuel de votre trésorerie :</t>
  </si>
  <si>
    <t>parlons un peu finances si vous le permettez.</t>
  </si>
  <si>
    <t>%</t>
  </si>
  <si>
    <t>pièces</t>
  </si>
  <si>
    <t>ainsi que le niveau auquel se situe votre impôt sur le peuple :</t>
  </si>
  <si>
    <t>Pouvez-vous m'indiquer le nombre de vassaux en fonction de leur catégorie :</t>
  </si>
  <si>
    <t>pièces par heure</t>
  </si>
  <si>
    <t>Je vous informe que le montant des prélévements d'impôts s'élèvent à  :</t>
  </si>
  <si>
    <t>Armes</t>
  </si>
  <si>
    <t>Boucliers</t>
  </si>
  <si>
    <t>ARMURES</t>
  </si>
  <si>
    <t>Armures</t>
  </si>
  <si>
    <t>Objets uniques</t>
  </si>
  <si>
    <t xml:space="preserve">pièces </t>
  </si>
  <si>
    <t>Avec la vente éventuelle des objets votre trésorerie serait de :</t>
  </si>
  <si>
    <t>Quel montant de cette trésorerie souhaiteriez-vous investir ?</t>
  </si>
  <si>
    <t>Pas</t>
  </si>
  <si>
    <t>Attaque</t>
  </si>
  <si>
    <t>Défense</t>
  </si>
  <si>
    <t>Revenus</t>
  </si>
  <si>
    <t>a</t>
  </si>
  <si>
    <t>b</t>
  </si>
  <si>
    <t>c</t>
  </si>
  <si>
    <t>d</t>
  </si>
  <si>
    <t>Nombre</t>
  </si>
  <si>
    <t>Achat possible</t>
  </si>
  <si>
    <t>Investissement prévu</t>
  </si>
  <si>
    <t>Delta</t>
  </si>
  <si>
    <t>Solution</t>
  </si>
  <si>
    <t>Coût réel</t>
  </si>
  <si>
    <t>ACHAT</t>
  </si>
  <si>
    <t>COUT REEL</t>
  </si>
  <si>
    <t>Passons maintenant en revue la manière dont sont équipés vos chevaliers et le conseil que je puis vous donner en fonction des minima requis pour pouvoir accomplir les quêtes.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</si>
</sst>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\ _€"/>
    <numFmt numFmtId="166" formatCode="0.00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10"/>
      <name val="Calibri"/>
      <family val="2"/>
    </font>
    <font>
      <b/>
      <sz val="11"/>
      <color indexed="1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indexed="36"/>
      <name val="Calibri"/>
      <family val="2"/>
    </font>
    <font>
      <b/>
      <i/>
      <sz val="11"/>
      <color indexed="36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color indexed="23"/>
      <name val="Calibri"/>
      <family val="2"/>
    </font>
    <font>
      <b/>
      <i/>
      <sz val="11"/>
      <name val="Calibri"/>
      <family val="2"/>
    </font>
    <font>
      <b/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164" fontId="5" fillId="2" borderId="4" xfId="1" applyNumberFormat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164" fontId="0" fillId="0" borderId="8" xfId="1" applyNumberFormat="1" applyFont="1" applyBorder="1"/>
    <xf numFmtId="0" fontId="8" fillId="4" borderId="1" xfId="1" applyNumberFormat="1" applyFont="1" applyFill="1" applyBorder="1" applyAlignment="1">
      <alignment horizontal="center"/>
    </xf>
    <xf numFmtId="0" fontId="7" fillId="4" borderId="1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12" fillId="5" borderId="1" xfId="1" applyNumberFormat="1" applyFont="1" applyFill="1" applyBorder="1" applyAlignment="1">
      <alignment horizontal="center"/>
    </xf>
    <xf numFmtId="0" fontId="13" fillId="5" borderId="1" xfId="1" applyNumberFormat="1" applyFont="1" applyFill="1" applyBorder="1" applyAlignment="1">
      <alignment horizontal="center"/>
    </xf>
    <xf numFmtId="0" fontId="11" fillId="3" borderId="1" xfId="1" applyNumberFormat="1" applyFont="1" applyFill="1" applyBorder="1" applyAlignment="1">
      <alignment horizontal="center"/>
    </xf>
    <xf numFmtId="0" fontId="9" fillId="0" borderId="0" xfId="1" applyNumberFormat="1" applyFont="1" applyFill="1" applyAlignment="1">
      <alignment horizontal="center"/>
    </xf>
    <xf numFmtId="0" fontId="0" fillId="0" borderId="5" xfId="1" applyNumberFormat="1" applyFont="1" applyBorder="1" applyAlignment="1">
      <alignment horizontal="center"/>
    </xf>
    <xf numFmtId="0" fontId="7" fillId="4" borderId="2" xfId="1" applyNumberFormat="1" applyFont="1" applyFill="1" applyBorder="1" applyAlignment="1">
      <alignment horizontal="center"/>
    </xf>
    <xf numFmtId="0" fontId="5" fillId="2" borderId="4" xfId="1" applyNumberFormat="1" applyFont="1" applyFill="1" applyBorder="1" applyAlignment="1">
      <alignment horizontal="center"/>
    </xf>
    <xf numFmtId="0" fontId="10" fillId="0" borderId="2" xfId="1" applyNumberFormat="1" applyFont="1" applyBorder="1" applyAlignment="1">
      <alignment horizontal="center"/>
    </xf>
    <xf numFmtId="0" fontId="14" fillId="3" borderId="2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0" fontId="7" fillId="4" borderId="3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10" fillId="0" borderId="3" xfId="1" applyNumberFormat="1" applyFont="1" applyBorder="1" applyAlignment="1">
      <alignment horizontal="center"/>
    </xf>
    <xf numFmtId="0" fontId="14" fillId="3" borderId="3" xfId="1" applyNumberFormat="1" applyFont="1" applyFill="1" applyBorder="1" applyAlignment="1">
      <alignment horizontal="center"/>
    </xf>
    <xf numFmtId="0" fontId="0" fillId="0" borderId="4" xfId="1" applyNumberFormat="1" applyFont="1" applyBorder="1" applyAlignment="1">
      <alignment horizontal="center"/>
    </xf>
    <xf numFmtId="0" fontId="7" fillId="4" borderId="4" xfId="1" applyNumberFormat="1" applyFont="1" applyFill="1" applyBorder="1" applyAlignment="1">
      <alignment horizontal="center"/>
    </xf>
    <xf numFmtId="0" fontId="4" fillId="2" borderId="4" xfId="1" applyNumberFormat="1" applyFont="1" applyFill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4" fillId="3" borderId="4" xfId="1" applyNumberFormat="1" applyFont="1" applyFill="1" applyBorder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0" fillId="0" borderId="2" xfId="1" applyNumberFormat="1" applyFont="1" applyBorder="1" applyAlignment="1">
      <alignment horizontal="center"/>
    </xf>
    <xf numFmtId="0" fontId="4" fillId="2" borderId="2" xfId="1" applyNumberFormat="1" applyFont="1" applyFill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0" fontId="4" fillId="2" borderId="3" xfId="1" applyNumberFormat="1" applyFont="1" applyFill="1" applyBorder="1" applyAlignment="1">
      <alignment horizontal="center"/>
    </xf>
    <xf numFmtId="0" fontId="15" fillId="3" borderId="1" xfId="1" applyNumberFormat="1" applyFont="1" applyFill="1" applyBorder="1" applyAlignment="1">
      <alignment horizontal="center"/>
    </xf>
    <xf numFmtId="0" fontId="12" fillId="5" borderId="12" xfId="1" applyNumberFormat="1" applyFont="1" applyFill="1" applyBorder="1" applyAlignment="1">
      <alignment horizontal="center"/>
    </xf>
    <xf numFmtId="0" fontId="12" fillId="5" borderId="6" xfId="1" applyNumberFormat="1" applyFont="1" applyFill="1" applyBorder="1" applyAlignment="1">
      <alignment horizontal="center"/>
    </xf>
    <xf numFmtId="0" fontId="0" fillId="0" borderId="2" xfId="1" applyNumberFormat="1" applyFont="1" applyBorder="1"/>
    <xf numFmtId="0" fontId="10" fillId="0" borderId="2" xfId="1" applyNumberFormat="1" applyFont="1" applyBorder="1"/>
    <xf numFmtId="0" fontId="10" fillId="0" borderId="5" xfId="1" applyNumberFormat="1" applyFont="1" applyBorder="1"/>
    <xf numFmtId="0" fontId="0" fillId="0" borderId="2" xfId="1" applyNumberFormat="1" applyFont="1" applyFill="1" applyBorder="1"/>
    <xf numFmtId="0" fontId="0" fillId="0" borderId="8" xfId="1" applyNumberFormat="1" applyFont="1" applyBorder="1" applyAlignment="1">
      <alignment horizontal="right"/>
    </xf>
    <xf numFmtId="0" fontId="0" fillId="0" borderId="3" xfId="1" applyNumberFormat="1" applyFont="1" applyBorder="1"/>
    <xf numFmtId="0" fontId="0" fillId="0" borderId="9" xfId="1" applyNumberFormat="1" applyFont="1" applyBorder="1" applyAlignment="1">
      <alignment horizontal="right"/>
    </xf>
    <xf numFmtId="0" fontId="10" fillId="0" borderId="3" xfId="1" applyNumberFormat="1" applyFont="1" applyBorder="1"/>
    <xf numFmtId="0" fontId="10" fillId="0" borderId="7" xfId="1" applyNumberFormat="1" applyFont="1" applyBorder="1"/>
    <xf numFmtId="0" fontId="16" fillId="3" borderId="4" xfId="1" applyNumberFormat="1" applyFont="1" applyFill="1" applyBorder="1" applyAlignment="1">
      <alignment horizontal="center"/>
    </xf>
    <xf numFmtId="0" fontId="16" fillId="3" borderId="2" xfId="1" applyNumberFormat="1" applyFont="1" applyFill="1" applyBorder="1" applyAlignment="1">
      <alignment horizontal="center"/>
    </xf>
    <xf numFmtId="0" fontId="16" fillId="3" borderId="3" xfId="1" applyNumberFormat="1" applyFont="1" applyFill="1" applyBorder="1" applyAlignment="1">
      <alignment horizontal="center"/>
    </xf>
    <xf numFmtId="0" fontId="5" fillId="2" borderId="10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0" fillId="0" borderId="5" xfId="1" applyNumberFormat="1" applyFont="1" applyBorder="1"/>
    <xf numFmtId="0" fontId="0" fillId="0" borderId="5" xfId="1" applyNumberFormat="1" applyFont="1" applyFill="1" applyBorder="1"/>
    <xf numFmtId="0" fontId="0" fillId="0" borderId="7" xfId="1" applyNumberFormat="1" applyFont="1" applyBorder="1"/>
    <xf numFmtId="0" fontId="0" fillId="0" borderId="4" xfId="1" applyNumberFormat="1" applyFont="1" applyBorder="1"/>
    <xf numFmtId="0" fontId="0" fillId="0" borderId="10" xfId="1" applyNumberFormat="1" applyFont="1" applyBorder="1"/>
    <xf numFmtId="0" fontId="0" fillId="0" borderId="11" xfId="1" applyNumberFormat="1" applyFont="1" applyBorder="1" applyAlignment="1">
      <alignment horizontal="right"/>
    </xf>
    <xf numFmtId="0" fontId="10" fillId="0" borderId="4" xfId="1" applyNumberFormat="1" applyFont="1" applyBorder="1"/>
    <xf numFmtId="0" fontId="10" fillId="0" borderId="10" xfId="1" applyNumberFormat="1" applyFont="1" applyBorder="1"/>
    <xf numFmtId="0" fontId="11" fillId="3" borderId="12" xfId="1" applyNumberFormat="1" applyFont="1" applyFill="1" applyBorder="1" applyAlignment="1">
      <alignment horizontal="center"/>
    </xf>
    <xf numFmtId="0" fontId="14" fillId="3" borderId="11" xfId="1" applyNumberFormat="1" applyFont="1" applyFill="1" applyBorder="1" applyAlignment="1">
      <alignment horizontal="center"/>
    </xf>
    <xf numFmtId="0" fontId="14" fillId="3" borderId="8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4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16" fillId="3" borderId="10" xfId="1" applyNumberFormat="1" applyFont="1" applyFill="1" applyBorder="1" applyAlignment="1">
      <alignment horizontal="center"/>
    </xf>
    <xf numFmtId="0" fontId="16" fillId="3" borderId="5" xfId="1" applyNumberFormat="1" applyFont="1" applyFill="1" applyBorder="1" applyAlignment="1">
      <alignment horizontal="center"/>
    </xf>
    <xf numFmtId="0" fontId="16" fillId="3" borderId="7" xfId="1" applyNumberFormat="1" applyFont="1" applyFill="1" applyBorder="1" applyAlignment="1">
      <alignment horizontal="center"/>
    </xf>
    <xf numFmtId="164" fontId="7" fillId="4" borderId="12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4" fontId="16" fillId="3" borderId="2" xfId="1" applyNumberFormat="1" applyFont="1" applyFill="1" applyBorder="1" applyAlignment="1">
      <alignment horizontal="center"/>
    </xf>
    <xf numFmtId="164" fontId="11" fillId="3" borderId="1" xfId="1" applyNumberFormat="1" applyFont="1" applyFill="1" applyBorder="1" applyAlignment="1">
      <alignment horizontal="center"/>
    </xf>
    <xf numFmtId="164" fontId="16" fillId="3" borderId="4" xfId="1" applyNumberFormat="1" applyFont="1" applyFill="1" applyBorder="1" applyAlignment="1">
      <alignment horizontal="center"/>
    </xf>
    <xf numFmtId="164" fontId="16" fillId="3" borderId="3" xfId="1" applyNumberFormat="1" applyFont="1" applyFill="1" applyBorder="1" applyAlignment="1">
      <alignment horizontal="center"/>
    </xf>
    <xf numFmtId="0" fontId="14" fillId="3" borderId="10" xfId="1" applyNumberFormat="1" applyFont="1" applyFill="1" applyBorder="1" applyAlignment="1">
      <alignment horizontal="center"/>
    </xf>
    <xf numFmtId="0" fontId="14" fillId="3" borderId="5" xfId="1" applyNumberFormat="1" applyFont="1" applyFill="1" applyBorder="1" applyAlignment="1">
      <alignment horizontal="center"/>
    </xf>
    <xf numFmtId="0" fontId="14" fillId="3" borderId="7" xfId="1" applyNumberFormat="1" applyFont="1" applyFill="1" applyBorder="1" applyAlignment="1">
      <alignment horizontal="center"/>
    </xf>
    <xf numFmtId="0" fontId="14" fillId="3" borderId="9" xfId="1" applyNumberFormat="1" applyFont="1" applyFill="1" applyBorder="1" applyAlignment="1">
      <alignment horizontal="center"/>
    </xf>
    <xf numFmtId="0" fontId="14" fillId="0" borderId="0" xfId="1" applyNumberFormat="1" applyFont="1" applyFill="1" applyBorder="1" applyAlignment="1">
      <alignment horizontal="center"/>
    </xf>
    <xf numFmtId="164" fontId="11" fillId="3" borderId="4" xfId="1" applyNumberFormat="1" applyFont="1" applyFill="1" applyBorder="1" applyAlignment="1">
      <alignment horizontal="center"/>
    </xf>
    <xf numFmtId="0" fontId="4" fillId="2" borderId="12" xfId="1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165" fontId="0" fillId="0" borderId="2" xfId="0" applyNumberFormat="1" applyBorder="1"/>
    <xf numFmtId="0" fontId="10" fillId="0" borderId="2" xfId="0" applyFont="1" applyBorder="1"/>
    <xf numFmtId="0" fontId="10" fillId="0" borderId="3" xfId="0" applyFont="1" applyBorder="1"/>
    <xf numFmtId="0" fontId="0" fillId="0" borderId="4" xfId="0" applyBorder="1"/>
    <xf numFmtId="164" fontId="14" fillId="3" borderId="2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7" fillId="4" borderId="1" xfId="1" applyNumberFormat="1" applyFont="1" applyFill="1" applyBorder="1" applyAlignment="1">
      <alignment horizontal="center"/>
    </xf>
    <xf numFmtId="164" fontId="14" fillId="3" borderId="4" xfId="1" applyNumberFormat="1" applyFont="1" applyFill="1" applyBorder="1" applyAlignment="1">
      <alignment horizontal="center"/>
    </xf>
    <xf numFmtId="164" fontId="14" fillId="3" borderId="3" xfId="1" applyNumberFormat="1" applyFont="1" applyFill="1" applyBorder="1" applyAlignment="1">
      <alignment horizontal="center"/>
    </xf>
    <xf numFmtId="0" fontId="18" fillId="6" borderId="0" xfId="0" applyFont="1" applyFill="1"/>
    <xf numFmtId="0" fontId="17" fillId="6" borderId="0" xfId="0" applyFont="1" applyFill="1"/>
    <xf numFmtId="0" fontId="13" fillId="6" borderId="0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/>
    </xf>
    <xf numFmtId="0" fontId="18" fillId="6" borderId="0" xfId="0" applyFont="1" applyFill="1" applyBorder="1"/>
    <xf numFmtId="0" fontId="19" fillId="6" borderId="0" xfId="0" applyFont="1" applyFill="1" applyBorder="1" applyAlignment="1">
      <alignment horizontal="center"/>
    </xf>
    <xf numFmtId="0" fontId="17" fillId="6" borderId="0" xfId="0" applyFont="1" applyFill="1" applyAlignment="1"/>
    <xf numFmtId="0" fontId="13" fillId="6" borderId="0" xfId="0" applyFont="1" applyFill="1" applyBorder="1" applyAlignment="1">
      <alignment shrinkToFit="1"/>
    </xf>
    <xf numFmtId="0" fontId="13" fillId="6" borderId="0" xfId="0" applyFont="1" applyFill="1" applyBorder="1" applyAlignment="1">
      <alignment horizontal="left" shrinkToFit="1"/>
    </xf>
    <xf numFmtId="0" fontId="13" fillId="6" borderId="0" xfId="0" applyFont="1" applyFill="1" applyBorder="1" applyAlignment="1">
      <alignment horizontal="left"/>
    </xf>
    <xf numFmtId="0" fontId="18" fillId="6" borderId="20" xfId="0" applyFont="1" applyFill="1" applyBorder="1"/>
    <xf numFmtId="0" fontId="18" fillId="6" borderId="22" xfId="0" applyFont="1" applyFill="1" applyBorder="1"/>
    <xf numFmtId="0" fontId="18" fillId="6" borderId="16" xfId="0" applyFont="1" applyFill="1" applyBorder="1"/>
    <xf numFmtId="0" fontId="18" fillId="6" borderId="23" xfId="0" applyFont="1" applyFill="1" applyBorder="1"/>
    <xf numFmtId="0" fontId="18" fillId="6" borderId="24" xfId="0" applyFont="1" applyFill="1" applyBorder="1"/>
    <xf numFmtId="0" fontId="18" fillId="6" borderId="25" xfId="0" applyFont="1" applyFill="1" applyBorder="1"/>
    <xf numFmtId="0" fontId="18" fillId="6" borderId="26" xfId="0" applyFont="1" applyFill="1" applyBorder="1"/>
    <xf numFmtId="0" fontId="18" fillId="6" borderId="21" xfId="0" applyFont="1" applyFill="1" applyBorder="1"/>
    <xf numFmtId="0" fontId="18" fillId="6" borderId="16" xfId="0" applyFont="1" applyFill="1" applyBorder="1" applyAlignment="1"/>
    <xf numFmtId="0" fontId="13" fillId="6" borderId="25" xfId="0" applyFont="1" applyFill="1" applyBorder="1" applyAlignment="1">
      <alignment horizontal="center"/>
    </xf>
    <xf numFmtId="0" fontId="18" fillId="6" borderId="16" xfId="0" applyFont="1" applyFill="1" applyBorder="1" applyAlignment="1">
      <alignment horizontal="left"/>
    </xf>
    <xf numFmtId="0" fontId="20" fillId="6" borderId="0" xfId="1" applyNumberFormat="1" applyFont="1" applyFill="1" applyAlignment="1">
      <alignment horizontal="left"/>
    </xf>
    <xf numFmtId="0" fontId="5" fillId="2" borderId="13" xfId="1" applyNumberFormat="1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center"/>
    </xf>
    <xf numFmtId="0" fontId="5" fillId="2" borderId="27" xfId="1" applyNumberFormat="1" applyFont="1" applyFill="1" applyBorder="1" applyAlignment="1">
      <alignment horizontal="center"/>
    </xf>
    <xf numFmtId="0" fontId="8" fillId="4" borderId="10" xfId="1" applyNumberFormat="1" applyFont="1" applyFill="1" applyBorder="1" applyAlignment="1">
      <alignment horizontal="center"/>
    </xf>
    <xf numFmtId="0" fontId="7" fillId="4" borderId="29" xfId="1" applyNumberFormat="1" applyFont="1" applyFill="1" applyBorder="1" applyAlignment="1">
      <alignment horizontal="center"/>
    </xf>
    <xf numFmtId="0" fontId="7" fillId="4" borderId="30" xfId="1" applyNumberFormat="1" applyFont="1" applyFill="1" applyBorder="1" applyAlignment="1">
      <alignment horizontal="center"/>
    </xf>
    <xf numFmtId="0" fontId="7" fillId="4" borderId="31" xfId="1" applyNumberFormat="1" applyFont="1" applyFill="1" applyBorder="1" applyAlignment="1">
      <alignment horizontal="center"/>
    </xf>
    <xf numFmtId="0" fontId="8" fillId="4" borderId="28" xfId="1" applyNumberFormat="1" applyFont="1" applyFill="1" applyBorder="1" applyAlignment="1">
      <alignment horizontal="center"/>
    </xf>
    <xf numFmtId="0" fontId="20" fillId="6" borderId="0" xfId="0" applyFont="1" applyFill="1"/>
    <xf numFmtId="0" fontId="20" fillId="6" borderId="0" xfId="1" applyNumberFormat="1" applyFont="1" applyFill="1" applyBorder="1" applyAlignment="1">
      <alignment horizontal="center"/>
    </xf>
    <xf numFmtId="0" fontId="20" fillId="6" borderId="0" xfId="1" applyNumberFormat="1" applyFont="1" applyFill="1" applyBorder="1" applyAlignment="1">
      <alignment horizontal="left"/>
    </xf>
    <xf numFmtId="164" fontId="21" fillId="6" borderId="0" xfId="1" applyNumberFormat="1" applyFont="1" applyFill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20" fillId="6" borderId="0" xfId="0" applyFont="1" applyFill="1" applyBorder="1"/>
    <xf numFmtId="0" fontId="20" fillId="6" borderId="16" xfId="0" applyFont="1" applyFill="1" applyBorder="1"/>
    <xf numFmtId="0" fontId="21" fillId="6" borderId="0" xfId="0" applyFont="1" applyFill="1"/>
    <xf numFmtId="164" fontId="18" fillId="6" borderId="0" xfId="1" applyNumberFormat="1" applyFont="1" applyFill="1"/>
    <xf numFmtId="164" fontId="21" fillId="6" borderId="0" xfId="1" applyNumberFormat="1" applyFont="1" applyFill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/>
    <xf numFmtId="164" fontId="12" fillId="5" borderId="1" xfId="1" applyNumberFormat="1" applyFont="1" applyFill="1" applyBorder="1" applyAlignment="1">
      <alignment horizontal="center"/>
    </xf>
    <xf numFmtId="164" fontId="0" fillId="0" borderId="1" xfId="1" applyNumberFormat="1" applyFont="1" applyBorder="1"/>
    <xf numFmtId="0" fontId="14" fillId="3" borderId="1" xfId="1" applyNumberFormat="1" applyFont="1" applyFill="1" applyBorder="1" applyAlignment="1">
      <alignment horizontal="center"/>
    </xf>
    <xf numFmtId="166" fontId="0" fillId="0" borderId="1" xfId="0" applyNumberFormat="1" applyBorder="1"/>
    <xf numFmtId="0" fontId="12" fillId="5" borderId="4" xfId="1" applyNumberFormat="1" applyFont="1" applyFill="1" applyBorder="1" applyAlignment="1">
      <alignment horizontal="center"/>
    </xf>
    <xf numFmtId="164" fontId="12" fillId="5" borderId="4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22" fillId="6" borderId="16" xfId="0" applyFont="1" applyFill="1" applyBorder="1"/>
    <xf numFmtId="0" fontId="17" fillId="6" borderId="0" xfId="0" applyFont="1" applyFill="1" applyBorder="1" applyAlignment="1">
      <alignment horizontal="center"/>
    </xf>
    <xf numFmtId="164" fontId="21" fillId="6" borderId="0" xfId="1" applyNumberFormat="1" applyFont="1" applyFill="1" applyBorder="1" applyAlignment="1">
      <alignment horizontal="center"/>
    </xf>
    <xf numFmtId="0" fontId="4" fillId="2" borderId="6" xfId="1" applyNumberFormat="1" applyFont="1" applyFill="1" applyBorder="1" applyAlignment="1">
      <alignment horizontal="center"/>
    </xf>
    <xf numFmtId="0" fontId="4" fillId="2" borderId="12" xfId="1" applyNumberFormat="1" applyFont="1" applyFill="1" applyBorder="1" applyAlignment="1">
      <alignment horizontal="center"/>
    </xf>
    <xf numFmtId="0" fontId="11" fillId="3" borderId="6" xfId="1" applyNumberFormat="1" applyFont="1" applyFill="1" applyBorder="1" applyAlignment="1">
      <alignment horizontal="center"/>
    </xf>
    <xf numFmtId="0" fontId="11" fillId="3" borderId="14" xfId="1" applyNumberFormat="1" applyFont="1" applyFill="1" applyBorder="1" applyAlignment="1">
      <alignment horizontal="center"/>
    </xf>
    <xf numFmtId="0" fontId="11" fillId="3" borderId="12" xfId="1" applyNumberFormat="1" applyFont="1" applyFill="1" applyBorder="1" applyAlignment="1">
      <alignment horizontal="center"/>
    </xf>
    <xf numFmtId="0" fontId="4" fillId="2" borderId="11" xfId="1" applyNumberFormat="1" applyFont="1" applyFill="1" applyBorder="1" applyAlignment="1">
      <alignment horizontal="center"/>
    </xf>
    <xf numFmtId="0" fontId="11" fillId="3" borderId="10" xfId="1" applyNumberFormat="1" applyFont="1" applyFill="1" applyBorder="1" applyAlignment="1">
      <alignment horizontal="center"/>
    </xf>
    <xf numFmtId="0" fontId="11" fillId="3" borderId="13" xfId="1" applyNumberFormat="1" applyFont="1" applyFill="1" applyBorder="1" applyAlignment="1">
      <alignment horizontal="center"/>
    </xf>
    <xf numFmtId="0" fontId="11" fillId="3" borderId="11" xfId="1" applyNumberFormat="1" applyFont="1" applyFill="1" applyBorder="1" applyAlignment="1">
      <alignment horizontal="center"/>
    </xf>
    <xf numFmtId="0" fontId="13" fillId="5" borderId="17" xfId="0" applyFont="1" applyFill="1" applyBorder="1" applyAlignment="1" applyProtection="1">
      <alignment horizontal="center"/>
      <protection locked="0"/>
    </xf>
    <xf numFmtId="0" fontId="13" fillId="5" borderId="18" xfId="0" applyFont="1" applyFill="1" applyBorder="1" applyAlignment="1" applyProtection="1">
      <alignment horizontal="center"/>
      <protection locked="0"/>
    </xf>
    <xf numFmtId="0" fontId="13" fillId="5" borderId="19" xfId="0" applyFont="1" applyFill="1" applyBorder="1" applyAlignment="1" applyProtection="1">
      <alignment horizontal="center"/>
      <protection locked="0"/>
    </xf>
    <xf numFmtId="0" fontId="13" fillId="5" borderId="15" xfId="0" applyFont="1" applyFill="1" applyBorder="1" applyAlignment="1" applyProtection="1">
      <alignment horizontal="center"/>
      <protection locked="0"/>
    </xf>
    <xf numFmtId="0" fontId="13" fillId="5" borderId="32" xfId="0" applyFont="1" applyFill="1" applyBorder="1" applyAlignment="1" applyProtection="1">
      <alignment horizontal="center"/>
      <protection locked="0"/>
    </xf>
    <xf numFmtId="0" fontId="13" fillId="5" borderId="33" xfId="0" applyFont="1" applyFill="1" applyBorder="1" applyAlignment="1" applyProtection="1">
      <alignment horizontal="center"/>
      <protection locked="0"/>
    </xf>
    <xf numFmtId="0" fontId="13" fillId="5" borderId="34" xfId="0" applyFont="1" applyFill="1" applyBorder="1" applyAlignment="1" applyProtection="1">
      <alignment horizontal="center"/>
      <protection locked="0"/>
    </xf>
    <xf numFmtId="164" fontId="13" fillId="5" borderId="17" xfId="1" applyNumberFormat="1" applyFont="1" applyFill="1" applyBorder="1" applyAlignment="1" applyProtection="1">
      <alignment horizontal="center"/>
      <protection locked="0"/>
    </xf>
    <xf numFmtId="164" fontId="13" fillId="5" borderId="18" xfId="1" applyNumberFormat="1" applyFont="1" applyFill="1" applyBorder="1" applyAlignment="1" applyProtection="1">
      <alignment horizontal="center"/>
      <protection locked="0"/>
    </xf>
    <xf numFmtId="164" fontId="13" fillId="5" borderId="19" xfId="1" applyNumberFormat="1" applyFont="1" applyFill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103</xdr:row>
      <xdr:rowOff>95252</xdr:rowOff>
    </xdr:from>
    <xdr:to>
      <xdr:col>2</xdr:col>
      <xdr:colOff>567600</xdr:colOff>
      <xdr:row>107</xdr:row>
      <xdr:rowOff>183687</xdr:rowOff>
    </xdr:to>
    <xdr:pic>
      <xdr:nvPicPr>
        <xdr:cNvPr id="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1600" y="5314952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108</xdr:row>
      <xdr:rowOff>66675</xdr:rowOff>
    </xdr:from>
    <xdr:to>
      <xdr:col>2</xdr:col>
      <xdr:colOff>558075</xdr:colOff>
      <xdr:row>112</xdr:row>
      <xdr:rowOff>155110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62075" y="6238875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113</xdr:row>
      <xdr:rowOff>47625</xdr:rowOff>
    </xdr:from>
    <xdr:to>
      <xdr:col>2</xdr:col>
      <xdr:colOff>558075</xdr:colOff>
      <xdr:row>117</xdr:row>
      <xdr:rowOff>136060</xdr:rowOff>
    </xdr:to>
    <xdr:pic>
      <xdr:nvPicPr>
        <xdr:cNvPr id="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62075" y="7172325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685800</xdr:colOff>
      <xdr:row>103</xdr:row>
      <xdr:rowOff>76200</xdr:rowOff>
    </xdr:from>
    <xdr:to>
      <xdr:col>5</xdr:col>
      <xdr:colOff>643800</xdr:colOff>
      <xdr:row>107</xdr:row>
      <xdr:rowOff>175070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3800" y="5295900"/>
          <a:ext cx="720000" cy="86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695325</xdr:colOff>
      <xdr:row>113</xdr:row>
      <xdr:rowOff>38100</xdr:rowOff>
    </xdr:from>
    <xdr:to>
      <xdr:col>5</xdr:col>
      <xdr:colOff>653325</xdr:colOff>
      <xdr:row>117</xdr:row>
      <xdr:rowOff>126535</xdr:rowOff>
    </xdr:to>
    <xdr:pic>
      <xdr:nvPicPr>
        <xdr:cNvPr id="6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43325" y="7162800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704850</xdr:colOff>
      <xdr:row>108</xdr:row>
      <xdr:rowOff>47625</xdr:rowOff>
    </xdr:from>
    <xdr:to>
      <xdr:col>5</xdr:col>
      <xdr:colOff>662850</xdr:colOff>
      <xdr:row>112</xdr:row>
      <xdr:rowOff>136060</xdr:rowOff>
    </xdr:to>
    <xdr:pic>
      <xdr:nvPicPr>
        <xdr:cNvPr id="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52850" y="6219825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485775</xdr:colOff>
      <xdr:row>103</xdr:row>
      <xdr:rowOff>66675</xdr:rowOff>
    </xdr:from>
    <xdr:to>
      <xdr:col>8</xdr:col>
      <xdr:colOff>443775</xdr:colOff>
      <xdr:row>107</xdr:row>
      <xdr:rowOff>155110</xdr:rowOff>
    </xdr:to>
    <xdr:pic>
      <xdr:nvPicPr>
        <xdr:cNvPr id="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19775" y="5286375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108</xdr:row>
      <xdr:rowOff>66675</xdr:rowOff>
    </xdr:from>
    <xdr:to>
      <xdr:col>8</xdr:col>
      <xdr:colOff>434250</xdr:colOff>
      <xdr:row>112</xdr:row>
      <xdr:rowOff>155110</xdr:rowOff>
    </xdr:to>
    <xdr:pic>
      <xdr:nvPicPr>
        <xdr:cNvPr id="9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10250" y="6238875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113</xdr:row>
      <xdr:rowOff>47625</xdr:rowOff>
    </xdr:from>
    <xdr:to>
      <xdr:col>8</xdr:col>
      <xdr:colOff>434250</xdr:colOff>
      <xdr:row>117</xdr:row>
      <xdr:rowOff>136060</xdr:rowOff>
    </xdr:to>
    <xdr:pic>
      <xdr:nvPicPr>
        <xdr:cNvPr id="1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10250" y="7172325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666750</xdr:colOff>
      <xdr:row>103</xdr:row>
      <xdr:rowOff>57150</xdr:rowOff>
    </xdr:from>
    <xdr:to>
      <xdr:col>11</xdr:col>
      <xdr:colOff>624750</xdr:colOff>
      <xdr:row>107</xdr:row>
      <xdr:rowOff>145585</xdr:rowOff>
    </xdr:to>
    <xdr:pic>
      <xdr:nvPicPr>
        <xdr:cNvPr id="11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29550" y="5276850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666750</xdr:colOff>
      <xdr:row>108</xdr:row>
      <xdr:rowOff>66675</xdr:rowOff>
    </xdr:from>
    <xdr:to>
      <xdr:col>11</xdr:col>
      <xdr:colOff>624750</xdr:colOff>
      <xdr:row>112</xdr:row>
      <xdr:rowOff>155110</xdr:rowOff>
    </xdr:to>
    <xdr:pic>
      <xdr:nvPicPr>
        <xdr:cNvPr id="12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29550" y="6238875"/>
          <a:ext cx="720000" cy="85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600075</xdr:colOff>
      <xdr:row>120</xdr:row>
      <xdr:rowOff>28575</xdr:rowOff>
    </xdr:from>
    <xdr:to>
      <xdr:col>2</xdr:col>
      <xdr:colOff>558075</xdr:colOff>
      <xdr:row>124</xdr:row>
      <xdr:rowOff>107414</xdr:rowOff>
    </xdr:to>
    <xdr:pic>
      <xdr:nvPicPr>
        <xdr:cNvPr id="14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62075" y="8486775"/>
          <a:ext cx="720000" cy="840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685800</xdr:colOff>
      <xdr:row>120</xdr:row>
      <xdr:rowOff>19050</xdr:rowOff>
    </xdr:from>
    <xdr:to>
      <xdr:col>5</xdr:col>
      <xdr:colOff>643800</xdr:colOff>
      <xdr:row>124</xdr:row>
      <xdr:rowOff>97889</xdr:rowOff>
    </xdr:to>
    <xdr:pic>
      <xdr:nvPicPr>
        <xdr:cNvPr id="1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3800" y="8477250"/>
          <a:ext cx="720000" cy="840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120</xdr:row>
      <xdr:rowOff>19050</xdr:rowOff>
    </xdr:from>
    <xdr:to>
      <xdr:col>8</xdr:col>
      <xdr:colOff>434250</xdr:colOff>
      <xdr:row>124</xdr:row>
      <xdr:rowOff>97889</xdr:rowOff>
    </xdr:to>
    <xdr:pic>
      <xdr:nvPicPr>
        <xdr:cNvPr id="1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10250" y="8477250"/>
          <a:ext cx="720000" cy="840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141"/>
  <sheetViews>
    <sheetView tabSelected="1" workbookViewId="0">
      <selection activeCell="L4" sqref="L4:N4"/>
    </sheetView>
  </sheetViews>
  <sheetFormatPr baseColWidth="10" defaultRowHeight="15" customHeight="1"/>
  <cols>
    <col min="1" max="1" width="3.140625" style="105" customWidth="1"/>
    <col min="2" max="4" width="11.42578125" style="105"/>
    <col min="5" max="5" width="13.7109375" style="105" bestFit="1" customWidth="1"/>
    <col min="6" max="8" width="11.42578125" style="105"/>
    <col min="9" max="9" width="7.85546875" style="105" customWidth="1"/>
    <col min="10" max="10" width="8.140625" style="105" customWidth="1"/>
    <col min="11" max="14" width="11.42578125" style="105"/>
    <col min="15" max="15" width="23.140625" style="105" customWidth="1"/>
    <col min="16" max="17" width="11.42578125" style="105"/>
    <col min="18" max="18" width="13.5703125" style="105" customWidth="1"/>
    <col min="19" max="16384" width="11.42578125" style="105"/>
  </cols>
  <sheetData>
    <row r="2" spans="2:15" ht="15" customHeight="1">
      <c r="B2" s="122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6"/>
    </row>
    <row r="3" spans="2:15" ht="15" customHeight="1">
      <c r="B3" s="123" t="s">
        <v>123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8"/>
    </row>
    <row r="4" spans="2:15" ht="15" customHeight="1">
      <c r="B4" s="117" t="s">
        <v>124</v>
      </c>
      <c r="C4" s="109"/>
      <c r="D4" s="109"/>
      <c r="E4" s="109"/>
      <c r="F4" s="109"/>
      <c r="G4" s="109"/>
      <c r="H4" s="109"/>
      <c r="I4" s="109"/>
      <c r="J4" s="109"/>
      <c r="K4" s="109"/>
      <c r="L4" s="170"/>
      <c r="M4" s="171"/>
      <c r="N4" s="172"/>
      <c r="O4" s="118"/>
    </row>
    <row r="5" spans="2:15" ht="15" customHeight="1">
      <c r="B5" s="117" t="s">
        <v>125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18"/>
    </row>
    <row r="6" spans="2:15" ht="15" customHeight="1">
      <c r="B6" s="119"/>
      <c r="C6" s="120"/>
      <c r="D6" s="120"/>
      <c r="E6" s="120"/>
      <c r="F6" s="120"/>
      <c r="G6" s="124"/>
      <c r="H6" s="124"/>
      <c r="I6" s="124"/>
      <c r="J6" s="120"/>
      <c r="K6" s="120"/>
      <c r="L6" s="120"/>
      <c r="M6" s="120"/>
      <c r="N6" s="120"/>
      <c r="O6" s="121"/>
    </row>
    <row r="7" spans="2:15" ht="15" customHeight="1">
      <c r="G7" s="107"/>
      <c r="H7" s="107"/>
      <c r="I7" s="107"/>
    </row>
    <row r="8" spans="2:15" ht="15" customHeight="1">
      <c r="B8" s="122"/>
      <c r="C8" s="115"/>
      <c r="D8" s="115"/>
      <c r="E8" s="115"/>
      <c r="F8" s="115"/>
      <c r="G8" s="108"/>
      <c r="H8" s="108"/>
      <c r="I8" s="108"/>
      <c r="J8" s="115"/>
      <c r="K8" s="115"/>
      <c r="L8" s="115"/>
      <c r="M8" s="115"/>
      <c r="N8" s="115"/>
      <c r="O8" s="116"/>
    </row>
    <row r="9" spans="2:15" ht="15" customHeight="1">
      <c r="B9" s="117" t="s">
        <v>128</v>
      </c>
      <c r="C9" s="109"/>
      <c r="D9" s="109"/>
      <c r="E9" s="109"/>
      <c r="F9" s="109"/>
      <c r="G9" s="107"/>
      <c r="H9" s="109"/>
      <c r="I9" s="109"/>
      <c r="J9" s="109"/>
      <c r="K9" s="109"/>
      <c r="L9" s="173"/>
      <c r="M9" s="109"/>
      <c r="N9" s="109"/>
      <c r="O9" s="118"/>
    </row>
    <row r="10" spans="2:15" ht="15" customHeight="1"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1"/>
    </row>
    <row r="12" spans="2:15" ht="15" customHeight="1">
      <c r="B12" s="122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6"/>
    </row>
    <row r="13" spans="2:15" ht="15" customHeight="1">
      <c r="B13" s="125" t="str">
        <f>IF(L9=1,"Messire",IF(L9=2,"Dame",""))</f>
        <v/>
      </c>
      <c r="C13" s="112" t="str">
        <f>IF(L4&lt;&gt;0,L4,"")</f>
        <v/>
      </c>
      <c r="D13" s="112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18"/>
    </row>
    <row r="14" spans="2:15" ht="15" customHeight="1">
      <c r="B14" s="117" t="s">
        <v>126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73"/>
      <c r="M14" s="109"/>
      <c r="N14" s="109"/>
      <c r="O14" s="118"/>
    </row>
    <row r="15" spans="2:15" ht="15" customHeight="1">
      <c r="B15" s="117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18"/>
    </row>
    <row r="16" spans="2:15" ht="15" customHeight="1">
      <c r="B16" s="117" t="s">
        <v>127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73"/>
      <c r="M16" s="109"/>
      <c r="N16" s="109"/>
      <c r="O16" s="118"/>
    </row>
    <row r="17" spans="2:15" ht="15" customHeight="1">
      <c r="B17" s="119"/>
      <c r="C17" s="120"/>
      <c r="D17" s="120"/>
      <c r="E17" s="120"/>
      <c r="F17" s="120"/>
      <c r="G17" s="120"/>
      <c r="H17" s="120"/>
      <c r="I17" s="120"/>
      <c r="J17" s="120"/>
      <c r="K17" s="120"/>
      <c r="L17" s="124"/>
      <c r="M17" s="120"/>
      <c r="N17" s="120"/>
      <c r="O17" s="121"/>
    </row>
    <row r="18" spans="2:15" ht="15" customHeight="1">
      <c r="L18" s="107"/>
    </row>
    <row r="19" spans="2:15" s="106" customFormat="1" ht="15" customHeight="1">
      <c r="B19" s="126" t="str">
        <f>IF(Feuil1!C30&lt;0,"Bonne nouvelle ! Votre ordre est au complet. Aucun recrutement n'est à prévoir dans l'immédiat.",(IF(Feuil1!C30=0,"","Permettez-moi de vous signaler que nous n'avons pas assez de troupes. Il nous faudrait recruter :")))</f>
        <v/>
      </c>
      <c r="J19" s="110" t="str">
        <f>IF(Feuil1!C30&gt;0,Feuil1!C30,"")</f>
        <v/>
      </c>
      <c r="K19" s="111" t="str">
        <f>IF(Feuil1!C30&lt;0,"",(IF(Feuil1!C30=0,"","chevaliers supplémentaires")))</f>
        <v/>
      </c>
    </row>
    <row r="20" spans="2:15" s="106" customFormat="1" ht="15" customHeight="1">
      <c r="B20" s="126"/>
      <c r="J20" s="110"/>
      <c r="K20" s="111"/>
    </row>
    <row r="21" spans="2:15" s="109" customFormat="1" ht="15" customHeight="1">
      <c r="B21" s="122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6"/>
    </row>
    <row r="22" spans="2:15" s="109" customFormat="1" ht="15" customHeight="1">
      <c r="B22" s="117" t="s">
        <v>161</v>
      </c>
      <c r="O22" s="118"/>
    </row>
    <row r="23" spans="2:15" s="109" customFormat="1" ht="15" customHeight="1">
      <c r="B23" s="158"/>
      <c r="O23" s="118"/>
    </row>
    <row r="24" spans="2:15" s="109" customFormat="1" ht="15" customHeight="1">
      <c r="B24" s="117"/>
      <c r="C24" s="159" t="s">
        <v>137</v>
      </c>
      <c r="D24" s="159"/>
      <c r="E24" s="159"/>
      <c r="F24" s="159"/>
      <c r="K24" s="159" t="s">
        <v>141</v>
      </c>
      <c r="L24" s="159"/>
      <c r="M24" s="159"/>
      <c r="N24" s="159"/>
      <c r="O24" s="118"/>
    </row>
    <row r="25" spans="2:15" s="109" customFormat="1" ht="15" customHeight="1">
      <c r="B25" s="117"/>
      <c r="H25" s="136"/>
      <c r="O25" s="118"/>
    </row>
    <row r="26" spans="2:15" s="109" customFormat="1" ht="15" customHeight="1">
      <c r="B26" s="117"/>
      <c r="C26" s="109" t="s">
        <v>35</v>
      </c>
      <c r="F26" s="174"/>
      <c r="G26" s="136" t="str">
        <f>Feuil1!F34</f>
        <v>ACHETER</v>
      </c>
      <c r="H26" s="137">
        <f>Feuil1!G34</f>
        <v>1</v>
      </c>
      <c r="K26" s="109" t="s">
        <v>115</v>
      </c>
      <c r="N26" s="174"/>
      <c r="O26" s="118"/>
    </row>
    <row r="27" spans="2:15" s="109" customFormat="1" ht="15" customHeight="1">
      <c r="B27" s="117"/>
      <c r="C27" s="109" t="s">
        <v>36</v>
      </c>
      <c r="F27" s="175"/>
      <c r="G27" s="136" t="str">
        <f>Feuil1!F35</f>
        <v/>
      </c>
      <c r="H27" s="137" t="str">
        <f>Feuil1!G35</f>
        <v/>
      </c>
      <c r="K27" s="109" t="s">
        <v>116</v>
      </c>
      <c r="N27" s="175"/>
      <c r="O27" s="118"/>
    </row>
    <row r="28" spans="2:15" s="109" customFormat="1" ht="15" customHeight="1">
      <c r="B28" s="117"/>
      <c r="C28" s="109" t="s">
        <v>37</v>
      </c>
      <c r="F28" s="175"/>
      <c r="G28" s="136" t="str">
        <f>Feuil1!F36</f>
        <v>ACHETER</v>
      </c>
      <c r="H28" s="137">
        <f>Feuil1!G36</f>
        <v>2</v>
      </c>
      <c r="K28" s="109" t="s">
        <v>117</v>
      </c>
      <c r="N28" s="175"/>
      <c r="O28" s="118"/>
    </row>
    <row r="29" spans="2:15" s="109" customFormat="1" ht="15" customHeight="1">
      <c r="B29" s="117"/>
      <c r="C29" s="109" t="s">
        <v>38</v>
      </c>
      <c r="F29" s="175"/>
      <c r="G29" s="136" t="str">
        <f>Feuil1!F37</f>
        <v>ACHETER</v>
      </c>
      <c r="H29" s="137">
        <f>Feuil1!G37</f>
        <v>1</v>
      </c>
      <c r="K29" s="109" t="s">
        <v>118</v>
      </c>
      <c r="N29" s="176"/>
      <c r="O29" s="118"/>
    </row>
    <row r="30" spans="2:15" s="109" customFormat="1" ht="15" customHeight="1">
      <c r="B30" s="117"/>
      <c r="C30" s="109" t="s">
        <v>39</v>
      </c>
      <c r="F30" s="175"/>
      <c r="G30" s="136" t="str">
        <f>Feuil1!F38</f>
        <v>ACHETER</v>
      </c>
      <c r="H30" s="137">
        <f>Feuil1!G38</f>
        <v>3</v>
      </c>
      <c r="O30" s="118"/>
    </row>
    <row r="31" spans="2:15" s="109" customFormat="1" ht="15" customHeight="1">
      <c r="B31" s="117"/>
      <c r="C31" s="109" t="s">
        <v>40</v>
      </c>
      <c r="F31" s="175"/>
      <c r="G31" s="136" t="str">
        <f>Feuil1!F39</f>
        <v>ACHETER</v>
      </c>
      <c r="H31" s="137">
        <f>Feuil1!G39</f>
        <v>3</v>
      </c>
      <c r="O31" s="118"/>
    </row>
    <row r="32" spans="2:15" s="109" customFormat="1" ht="15" customHeight="1">
      <c r="B32" s="117"/>
      <c r="C32" s="109" t="s">
        <v>41</v>
      </c>
      <c r="F32" s="175"/>
      <c r="G32" s="136" t="str">
        <f>Feuil1!F40</f>
        <v>ACHETER</v>
      </c>
      <c r="H32" s="137">
        <f>Feuil1!G40</f>
        <v>11</v>
      </c>
      <c r="O32" s="118"/>
    </row>
    <row r="33" spans="2:15" s="109" customFormat="1" ht="15" customHeight="1">
      <c r="B33" s="117"/>
      <c r="C33" s="109" t="s">
        <v>42</v>
      </c>
      <c r="F33" s="175"/>
      <c r="G33" s="136" t="str">
        <f>Feuil1!F41</f>
        <v>ACHETER</v>
      </c>
      <c r="H33" s="137">
        <f>Feuil1!G41</f>
        <v>10</v>
      </c>
      <c r="O33" s="118"/>
    </row>
    <row r="34" spans="2:15" s="109" customFormat="1" ht="15" customHeight="1">
      <c r="B34" s="117"/>
      <c r="C34" s="109" t="s">
        <v>43</v>
      </c>
      <c r="F34" s="175"/>
      <c r="G34" s="136" t="str">
        <f>Feuil1!F42</f>
        <v>ACHETER</v>
      </c>
      <c r="H34" s="137">
        <f>Feuil1!G42</f>
        <v>17</v>
      </c>
      <c r="O34" s="118"/>
    </row>
    <row r="35" spans="2:15" s="109" customFormat="1" ht="15" customHeight="1">
      <c r="B35" s="117"/>
      <c r="C35" s="109" t="s">
        <v>44</v>
      </c>
      <c r="F35" s="175"/>
      <c r="G35" s="136" t="str">
        <f>Feuil1!F43</f>
        <v>ACHETER</v>
      </c>
      <c r="H35" s="137">
        <f>Feuil1!G43</f>
        <v>28</v>
      </c>
      <c r="O35" s="118"/>
    </row>
    <row r="36" spans="2:15" s="109" customFormat="1" ht="15" customHeight="1">
      <c r="B36" s="117"/>
      <c r="C36" s="109" t="s">
        <v>45</v>
      </c>
      <c r="F36" s="175"/>
      <c r="G36" s="136" t="str">
        <f>Feuil1!F44</f>
        <v>ACHETER</v>
      </c>
      <c r="H36" s="137">
        <f>Feuil1!G44</f>
        <v>40</v>
      </c>
      <c r="O36" s="118"/>
    </row>
    <row r="37" spans="2:15" s="109" customFormat="1" ht="15" customHeight="1">
      <c r="B37" s="117"/>
      <c r="C37" s="109" t="s">
        <v>46</v>
      </c>
      <c r="F37" s="175"/>
      <c r="G37" s="136" t="str">
        <f>Feuil1!F45</f>
        <v>ACHETER</v>
      </c>
      <c r="H37" s="137">
        <f>Feuil1!G45</f>
        <v>44</v>
      </c>
      <c r="O37" s="118"/>
    </row>
    <row r="38" spans="2:15" s="109" customFormat="1" ht="15" customHeight="1">
      <c r="B38" s="117"/>
      <c r="C38" s="109" t="s">
        <v>47</v>
      </c>
      <c r="F38" s="175"/>
      <c r="G38" s="136" t="str">
        <f>Feuil1!F46</f>
        <v>ACHETER</v>
      </c>
      <c r="H38" s="137">
        <f>Feuil1!G46</f>
        <v>49</v>
      </c>
      <c r="O38" s="118"/>
    </row>
    <row r="39" spans="2:15" s="109" customFormat="1" ht="15" customHeight="1">
      <c r="B39" s="117"/>
      <c r="C39" s="109" t="s">
        <v>48</v>
      </c>
      <c r="F39" s="175"/>
      <c r="G39" s="136" t="str">
        <f>Feuil1!F47</f>
        <v>ACHETER</v>
      </c>
      <c r="H39" s="137">
        <f>Feuil1!G47</f>
        <v>59</v>
      </c>
      <c r="O39" s="118"/>
    </row>
    <row r="40" spans="2:15" s="109" customFormat="1" ht="15" customHeight="1">
      <c r="B40" s="117"/>
      <c r="C40" s="109" t="s">
        <v>49</v>
      </c>
      <c r="F40" s="175"/>
      <c r="G40" s="136" t="str">
        <f>Feuil1!F48</f>
        <v>ACHETER</v>
      </c>
      <c r="H40" s="137">
        <f>Feuil1!G48</f>
        <v>79</v>
      </c>
      <c r="O40" s="118"/>
    </row>
    <row r="41" spans="2:15" s="109" customFormat="1" ht="15" customHeight="1">
      <c r="B41" s="117"/>
      <c r="C41" s="109" t="s">
        <v>50</v>
      </c>
      <c r="F41" s="175"/>
      <c r="G41" s="136" t="str">
        <f>Feuil1!F49</f>
        <v>ACHETER</v>
      </c>
      <c r="H41" s="137">
        <f>Feuil1!G49</f>
        <v>82</v>
      </c>
      <c r="O41" s="118"/>
    </row>
    <row r="42" spans="2:15" s="109" customFormat="1" ht="15" customHeight="1">
      <c r="B42" s="117"/>
      <c r="C42" s="109" t="s">
        <v>51</v>
      </c>
      <c r="F42" s="175"/>
      <c r="G42" s="136" t="str">
        <f>Feuil1!F50</f>
        <v>ACHETER</v>
      </c>
      <c r="H42" s="137">
        <f>Feuil1!G50</f>
        <v>125</v>
      </c>
      <c r="O42" s="118"/>
    </row>
    <row r="43" spans="2:15" s="109" customFormat="1" ht="15" customHeight="1">
      <c r="B43" s="117"/>
      <c r="C43" s="109" t="s">
        <v>52</v>
      </c>
      <c r="F43" s="175"/>
      <c r="G43" s="136" t="str">
        <f>Feuil1!F51</f>
        <v>ACHETER</v>
      </c>
      <c r="H43" s="137">
        <f>Feuil1!G51</f>
        <v>152</v>
      </c>
      <c r="O43" s="118"/>
    </row>
    <row r="44" spans="2:15" s="109" customFormat="1" ht="15" customHeight="1">
      <c r="B44" s="117"/>
      <c r="C44" s="109" t="s">
        <v>53</v>
      </c>
      <c r="F44" s="175"/>
      <c r="G44" s="136"/>
      <c r="H44" s="137"/>
      <c r="O44" s="118"/>
    </row>
    <row r="45" spans="2:15" s="109" customFormat="1" ht="15" customHeight="1">
      <c r="B45" s="117"/>
      <c r="C45" s="109" t="s">
        <v>54</v>
      </c>
      <c r="F45" s="175"/>
      <c r="G45" s="136"/>
      <c r="H45" s="137"/>
      <c r="O45" s="118"/>
    </row>
    <row r="46" spans="2:15" s="109" customFormat="1" ht="15" customHeight="1">
      <c r="B46" s="117"/>
      <c r="C46" s="109" t="s">
        <v>6</v>
      </c>
      <c r="F46" s="176"/>
      <c r="G46" s="136"/>
      <c r="H46" s="137"/>
      <c r="O46" s="118"/>
    </row>
    <row r="47" spans="2:15" s="109" customFormat="1" ht="15" customHeight="1">
      <c r="B47" s="117"/>
      <c r="G47" s="136"/>
      <c r="O47" s="118"/>
    </row>
    <row r="48" spans="2:15" s="109" customFormat="1" ht="15" customHeight="1">
      <c r="B48" s="117"/>
      <c r="C48" s="159" t="s">
        <v>138</v>
      </c>
      <c r="D48" s="159"/>
      <c r="E48" s="159"/>
      <c r="F48" s="159"/>
      <c r="G48" s="136"/>
      <c r="O48" s="118"/>
    </row>
    <row r="49" spans="2:15" s="109" customFormat="1" ht="15" customHeight="1">
      <c r="B49" s="117"/>
      <c r="G49" s="136"/>
      <c r="H49" s="137"/>
      <c r="O49" s="118"/>
    </row>
    <row r="50" spans="2:15" s="109" customFormat="1" ht="15" customHeight="1">
      <c r="B50" s="117"/>
      <c r="C50" s="109" t="s">
        <v>73</v>
      </c>
      <c r="F50" s="174"/>
      <c r="G50" s="136" t="str">
        <f>Feuil1!F57</f>
        <v>ACHETER</v>
      </c>
      <c r="H50" s="137">
        <f>Feuil1!G57</f>
        <v>1</v>
      </c>
      <c r="O50" s="118"/>
    </row>
    <row r="51" spans="2:15" s="109" customFormat="1" ht="15" customHeight="1">
      <c r="B51" s="117"/>
      <c r="C51" s="109" t="s">
        <v>74</v>
      </c>
      <c r="F51" s="175"/>
      <c r="G51" s="136" t="str">
        <f>Feuil1!F58</f>
        <v>ACHETER</v>
      </c>
      <c r="H51" s="137">
        <f>Feuil1!G58</f>
        <v>1</v>
      </c>
      <c r="O51" s="118"/>
    </row>
    <row r="52" spans="2:15" s="109" customFormat="1" ht="15" customHeight="1">
      <c r="B52" s="117"/>
      <c r="C52" s="109" t="s">
        <v>75</v>
      </c>
      <c r="F52" s="175"/>
      <c r="G52" s="136" t="str">
        <f>Feuil1!F59</f>
        <v>ACHETER</v>
      </c>
      <c r="H52" s="137">
        <f>Feuil1!G59</f>
        <v>2</v>
      </c>
      <c r="O52" s="118"/>
    </row>
    <row r="53" spans="2:15" s="109" customFormat="1" ht="15" customHeight="1">
      <c r="B53" s="117"/>
      <c r="C53" s="109" t="s">
        <v>76</v>
      </c>
      <c r="F53" s="175"/>
      <c r="G53" s="136" t="str">
        <f>Feuil1!F60</f>
        <v>ACHETER</v>
      </c>
      <c r="H53" s="137">
        <f>Feuil1!G60</f>
        <v>1</v>
      </c>
      <c r="O53" s="118"/>
    </row>
    <row r="54" spans="2:15" s="109" customFormat="1" ht="15" customHeight="1">
      <c r="B54" s="117"/>
      <c r="C54" s="109" t="s">
        <v>77</v>
      </c>
      <c r="F54" s="175"/>
      <c r="G54" s="136" t="str">
        <f>Feuil1!F61</f>
        <v>ACHETER</v>
      </c>
      <c r="H54" s="137">
        <f>Feuil1!G61</f>
        <v>3</v>
      </c>
      <c r="O54" s="118"/>
    </row>
    <row r="55" spans="2:15" s="109" customFormat="1" ht="15" customHeight="1">
      <c r="B55" s="117"/>
      <c r="C55" s="109" t="s">
        <v>78</v>
      </c>
      <c r="F55" s="175"/>
      <c r="G55" s="136" t="str">
        <f>Feuil1!F62</f>
        <v>ACHETER</v>
      </c>
      <c r="H55" s="137">
        <f>Feuil1!G62</f>
        <v>1</v>
      </c>
      <c r="O55" s="118"/>
    </row>
    <row r="56" spans="2:15" s="109" customFormat="1" ht="15" customHeight="1">
      <c r="B56" s="117"/>
      <c r="C56" s="109" t="s">
        <v>79</v>
      </c>
      <c r="F56" s="175"/>
      <c r="G56" s="136" t="str">
        <f>Feuil1!F63</f>
        <v>ACHETER</v>
      </c>
      <c r="H56" s="137">
        <f>Feuil1!G63</f>
        <v>10</v>
      </c>
      <c r="O56" s="118"/>
    </row>
    <row r="57" spans="2:15" s="109" customFormat="1" ht="15" customHeight="1">
      <c r="B57" s="117"/>
      <c r="C57" s="109" t="s">
        <v>80</v>
      </c>
      <c r="F57" s="175"/>
      <c r="G57" s="136" t="str">
        <f>Feuil1!F64</f>
        <v>ACHETER</v>
      </c>
      <c r="H57" s="137">
        <f>Feuil1!G64</f>
        <v>14</v>
      </c>
      <c r="O57" s="118"/>
    </row>
    <row r="58" spans="2:15" s="109" customFormat="1" ht="15" customHeight="1">
      <c r="B58" s="117"/>
      <c r="C58" s="109" t="s">
        <v>81</v>
      </c>
      <c r="F58" s="175"/>
      <c r="G58" s="136" t="str">
        <f>Feuil1!F65</f>
        <v>ACHETER</v>
      </c>
      <c r="H58" s="137">
        <f>Feuil1!G65</f>
        <v>19</v>
      </c>
      <c r="O58" s="118"/>
    </row>
    <row r="59" spans="2:15" s="109" customFormat="1" ht="15" customHeight="1">
      <c r="B59" s="117"/>
      <c r="C59" s="109" t="s">
        <v>82</v>
      </c>
      <c r="F59" s="175"/>
      <c r="G59" s="136" t="str">
        <f>Feuil1!F66</f>
        <v>ACHETER</v>
      </c>
      <c r="H59" s="137">
        <f>Feuil1!G66</f>
        <v>15</v>
      </c>
      <c r="O59" s="118"/>
    </row>
    <row r="60" spans="2:15" s="109" customFormat="1" ht="15" customHeight="1">
      <c r="B60" s="117"/>
      <c r="C60" s="109" t="s">
        <v>83</v>
      </c>
      <c r="F60" s="175"/>
      <c r="G60" s="136" t="str">
        <f>Feuil1!F67</f>
        <v>ACHETER</v>
      </c>
      <c r="H60" s="137">
        <f>Feuil1!G67</f>
        <v>44</v>
      </c>
      <c r="O60" s="118"/>
    </row>
    <row r="61" spans="2:15" s="109" customFormat="1" ht="15" customHeight="1">
      <c r="B61" s="117"/>
      <c r="C61" s="109" t="s">
        <v>84</v>
      </c>
      <c r="F61" s="175"/>
      <c r="G61" s="136" t="str">
        <f>Feuil1!F68</f>
        <v>ACHETER</v>
      </c>
      <c r="H61" s="137">
        <f>Feuil1!G68</f>
        <v>40</v>
      </c>
      <c r="O61" s="118"/>
    </row>
    <row r="62" spans="2:15" s="109" customFormat="1" ht="15" customHeight="1">
      <c r="B62" s="117"/>
      <c r="C62" s="109" t="s">
        <v>85</v>
      </c>
      <c r="F62" s="175"/>
      <c r="G62" s="136" t="str">
        <f>Feuil1!F69</f>
        <v>ACHETER</v>
      </c>
      <c r="H62" s="137">
        <f>Feuil1!G69</f>
        <v>60</v>
      </c>
      <c r="O62" s="118"/>
    </row>
    <row r="63" spans="2:15" s="109" customFormat="1" ht="15" customHeight="1">
      <c r="B63" s="117"/>
      <c r="C63" s="109" t="s">
        <v>86</v>
      </c>
      <c r="F63" s="175"/>
      <c r="G63" s="136" t="str">
        <f>Feuil1!F70</f>
        <v>ACHETER</v>
      </c>
      <c r="H63" s="137">
        <f>Feuil1!G70</f>
        <v>40</v>
      </c>
      <c r="O63" s="118"/>
    </row>
    <row r="64" spans="2:15" s="109" customFormat="1" ht="15" customHeight="1">
      <c r="B64" s="117"/>
      <c r="C64" s="109" t="s">
        <v>87</v>
      </c>
      <c r="F64" s="175"/>
      <c r="G64" s="136" t="str">
        <f>Feuil1!F71</f>
        <v>ACHETER</v>
      </c>
      <c r="H64" s="137">
        <f>Feuil1!G71</f>
        <v>69</v>
      </c>
      <c r="O64" s="118"/>
    </row>
    <row r="65" spans="2:15" s="109" customFormat="1" ht="15" customHeight="1">
      <c r="B65" s="117"/>
      <c r="C65" s="109" t="s">
        <v>88</v>
      </c>
      <c r="F65" s="175"/>
      <c r="G65" s="136" t="str">
        <f>Feuil1!F72</f>
        <v>ACHETER</v>
      </c>
      <c r="H65" s="137">
        <f>Feuil1!G72</f>
        <v>90</v>
      </c>
      <c r="O65" s="118"/>
    </row>
    <row r="66" spans="2:15" s="109" customFormat="1" ht="15" customHeight="1">
      <c r="B66" s="117"/>
      <c r="C66" s="109" t="s">
        <v>89</v>
      </c>
      <c r="F66" s="175"/>
      <c r="G66" s="136" t="str">
        <f>Feuil1!F73</f>
        <v>ACHETER</v>
      </c>
      <c r="H66" s="137">
        <f>Feuil1!G73</f>
        <v>130</v>
      </c>
      <c r="O66" s="118"/>
    </row>
    <row r="67" spans="2:15" s="109" customFormat="1" ht="15" customHeight="1">
      <c r="B67" s="117"/>
      <c r="C67" s="109" t="s">
        <v>90</v>
      </c>
      <c r="F67" s="175"/>
      <c r="G67" s="136" t="str">
        <f>Feuil1!F74</f>
        <v>ACHETER</v>
      </c>
      <c r="H67" s="137">
        <f>Feuil1!G74</f>
        <v>165</v>
      </c>
      <c r="O67" s="118"/>
    </row>
    <row r="68" spans="2:15" s="109" customFormat="1" ht="15" customHeight="1">
      <c r="B68" s="117"/>
      <c r="C68" s="109" t="s">
        <v>91</v>
      </c>
      <c r="F68" s="175"/>
      <c r="G68" s="136"/>
      <c r="H68" s="137"/>
      <c r="O68" s="118"/>
    </row>
    <row r="69" spans="2:15" s="109" customFormat="1" ht="15" customHeight="1">
      <c r="B69" s="117"/>
      <c r="C69" s="109" t="s">
        <v>92</v>
      </c>
      <c r="F69" s="175"/>
      <c r="G69" s="136"/>
      <c r="H69" s="137"/>
      <c r="O69" s="118"/>
    </row>
    <row r="70" spans="2:15" s="109" customFormat="1" ht="15" customHeight="1">
      <c r="B70" s="117"/>
      <c r="C70" s="109" t="s">
        <v>93</v>
      </c>
      <c r="F70" s="176"/>
      <c r="G70" s="136"/>
      <c r="H70" s="137"/>
      <c r="O70" s="118"/>
    </row>
    <row r="71" spans="2:15" s="109" customFormat="1" ht="15" customHeight="1">
      <c r="B71" s="117"/>
      <c r="G71" s="136"/>
      <c r="H71" s="137"/>
      <c r="O71" s="118"/>
    </row>
    <row r="72" spans="2:15" s="109" customFormat="1" ht="15" customHeight="1">
      <c r="B72" s="117"/>
      <c r="C72" s="159" t="s">
        <v>140</v>
      </c>
      <c r="D72" s="159"/>
      <c r="E72" s="159"/>
      <c r="F72" s="159"/>
      <c r="G72" s="136"/>
      <c r="H72" s="137"/>
      <c r="O72" s="118"/>
    </row>
    <row r="73" spans="2:15" s="109" customFormat="1" ht="15" customHeight="1">
      <c r="B73" s="117"/>
      <c r="G73" s="136"/>
      <c r="H73" s="137"/>
      <c r="O73" s="118"/>
    </row>
    <row r="74" spans="2:15" s="109" customFormat="1" ht="15" customHeight="1">
      <c r="B74" s="117"/>
      <c r="C74" s="109" t="s">
        <v>94</v>
      </c>
      <c r="F74" s="174"/>
      <c r="G74" s="136" t="str">
        <f>Feuil1!F80</f>
        <v/>
      </c>
      <c r="H74" s="137" t="str">
        <f>Feuil1!G80</f>
        <v/>
      </c>
      <c r="O74" s="118"/>
    </row>
    <row r="75" spans="2:15" s="109" customFormat="1" ht="15" customHeight="1">
      <c r="B75" s="117"/>
      <c r="C75" s="109" t="s">
        <v>95</v>
      </c>
      <c r="F75" s="175"/>
      <c r="G75" s="136" t="str">
        <f>Feuil1!F81</f>
        <v>ACHETER</v>
      </c>
      <c r="H75" s="137">
        <f>Feuil1!G81</f>
        <v>1</v>
      </c>
      <c r="O75" s="118"/>
    </row>
    <row r="76" spans="2:15" s="109" customFormat="1" ht="15" customHeight="1">
      <c r="B76" s="117"/>
      <c r="C76" s="109" t="s">
        <v>96</v>
      </c>
      <c r="F76" s="175"/>
      <c r="G76" s="136" t="str">
        <f>Feuil1!F82</f>
        <v/>
      </c>
      <c r="H76" s="137" t="str">
        <f>Feuil1!G82</f>
        <v/>
      </c>
      <c r="O76" s="118"/>
    </row>
    <row r="77" spans="2:15" s="109" customFormat="1" ht="15" customHeight="1">
      <c r="B77" s="117"/>
      <c r="C77" s="109" t="s">
        <v>97</v>
      </c>
      <c r="F77" s="175"/>
      <c r="G77" s="136" t="str">
        <f>Feuil1!F83</f>
        <v>ACHETER</v>
      </c>
      <c r="H77" s="137">
        <f>Feuil1!G83</f>
        <v>1</v>
      </c>
      <c r="O77" s="118"/>
    </row>
    <row r="78" spans="2:15" s="109" customFormat="1" ht="15" customHeight="1">
      <c r="B78" s="117"/>
      <c r="C78" s="109" t="s">
        <v>98</v>
      </c>
      <c r="F78" s="175"/>
      <c r="G78" s="136" t="str">
        <f>Feuil1!F84</f>
        <v>ACHETER</v>
      </c>
      <c r="H78" s="137">
        <f>Feuil1!G84</f>
        <v>2</v>
      </c>
      <c r="O78" s="118"/>
    </row>
    <row r="79" spans="2:15" s="109" customFormat="1" ht="15" customHeight="1">
      <c r="B79" s="117"/>
      <c r="C79" s="109" t="s">
        <v>99</v>
      </c>
      <c r="F79" s="175"/>
      <c r="G79" s="136" t="str">
        <f>Feuil1!F85</f>
        <v>ACHETER</v>
      </c>
      <c r="H79" s="137">
        <f>Feuil1!G85</f>
        <v>4</v>
      </c>
      <c r="O79" s="118"/>
    </row>
    <row r="80" spans="2:15" s="109" customFormat="1" ht="15" customHeight="1">
      <c r="B80" s="117"/>
      <c r="C80" s="109" t="s">
        <v>100</v>
      </c>
      <c r="F80" s="175"/>
      <c r="G80" s="136" t="str">
        <f>Feuil1!F86</f>
        <v>ACHETER</v>
      </c>
      <c r="H80" s="137">
        <f>Feuil1!G86</f>
        <v>9</v>
      </c>
      <c r="O80" s="118"/>
    </row>
    <row r="81" spans="2:15" s="109" customFormat="1" ht="15" customHeight="1">
      <c r="B81" s="117"/>
      <c r="C81" s="109" t="s">
        <v>101</v>
      </c>
      <c r="F81" s="175"/>
      <c r="G81" s="136" t="str">
        <f>Feuil1!F87</f>
        <v>ACHETER</v>
      </c>
      <c r="H81" s="137">
        <f>Feuil1!G87</f>
        <v>8</v>
      </c>
      <c r="O81" s="118"/>
    </row>
    <row r="82" spans="2:15" s="109" customFormat="1" ht="15" customHeight="1">
      <c r="B82" s="117"/>
      <c r="C82" s="109" t="s">
        <v>102</v>
      </c>
      <c r="F82" s="175"/>
      <c r="G82" s="136" t="str">
        <f>Feuil1!F88</f>
        <v>ACHETER</v>
      </c>
      <c r="H82" s="137">
        <f>Feuil1!G88</f>
        <v>21</v>
      </c>
      <c r="O82" s="118"/>
    </row>
    <row r="83" spans="2:15" s="109" customFormat="1" ht="15" customHeight="1">
      <c r="B83" s="117"/>
      <c r="C83" s="109" t="s">
        <v>103</v>
      </c>
      <c r="F83" s="175"/>
      <c r="G83" s="136" t="str">
        <f>Feuil1!F89</f>
        <v>ACHETER</v>
      </c>
      <c r="H83" s="137">
        <f>Feuil1!G89</f>
        <v>26</v>
      </c>
      <c r="O83" s="118"/>
    </row>
    <row r="84" spans="2:15" s="109" customFormat="1" ht="15" customHeight="1">
      <c r="B84" s="117"/>
      <c r="C84" s="109" t="s">
        <v>104</v>
      </c>
      <c r="F84" s="175"/>
      <c r="G84" s="136" t="str">
        <f>Feuil1!F90</f>
        <v>ACHETER</v>
      </c>
      <c r="H84" s="137">
        <f>Feuil1!G90</f>
        <v>39</v>
      </c>
      <c r="O84" s="118"/>
    </row>
    <row r="85" spans="2:15" s="109" customFormat="1" ht="15" customHeight="1">
      <c r="B85" s="117"/>
      <c r="C85" s="109" t="s">
        <v>105</v>
      </c>
      <c r="F85" s="175"/>
      <c r="G85" s="136" t="str">
        <f>Feuil1!F91</f>
        <v>ACHETER</v>
      </c>
      <c r="H85" s="137">
        <f>Feuil1!G91</f>
        <v>46</v>
      </c>
      <c r="O85" s="118"/>
    </row>
    <row r="86" spans="2:15" s="109" customFormat="1" ht="15" customHeight="1">
      <c r="B86" s="117"/>
      <c r="C86" s="109" t="s">
        <v>106</v>
      </c>
      <c r="F86" s="175"/>
      <c r="G86" s="136" t="str">
        <f>Feuil1!F92</f>
        <v>ACHETER</v>
      </c>
      <c r="H86" s="137">
        <f>Feuil1!G92</f>
        <v>41</v>
      </c>
      <c r="O86" s="118"/>
    </row>
    <row r="87" spans="2:15" s="109" customFormat="1" ht="15" customHeight="1">
      <c r="B87" s="117"/>
      <c r="C87" s="109" t="s">
        <v>107</v>
      </c>
      <c r="F87" s="175"/>
      <c r="G87" s="136" t="str">
        <f>Feuil1!F93</f>
        <v>ACHETER</v>
      </c>
      <c r="H87" s="137">
        <f>Feuil1!G93</f>
        <v>64</v>
      </c>
      <c r="O87" s="118"/>
    </row>
    <row r="88" spans="2:15" s="109" customFormat="1" ht="15" customHeight="1">
      <c r="B88" s="117"/>
      <c r="C88" s="109" t="s">
        <v>108</v>
      </c>
      <c r="F88" s="175"/>
      <c r="G88" s="136" t="str">
        <f>Feuil1!F94</f>
        <v>ACHETER</v>
      </c>
      <c r="H88" s="137">
        <f>Feuil1!G94</f>
        <v>73</v>
      </c>
      <c r="O88" s="118"/>
    </row>
    <row r="89" spans="2:15" s="109" customFormat="1" ht="15" customHeight="1">
      <c r="B89" s="117"/>
      <c r="C89" s="109" t="s">
        <v>109</v>
      </c>
      <c r="F89" s="175"/>
      <c r="G89" s="136" t="str">
        <f>Feuil1!F95</f>
        <v>ACHETER</v>
      </c>
      <c r="H89" s="137">
        <f>Feuil1!G95</f>
        <v>70</v>
      </c>
      <c r="O89" s="118"/>
    </row>
    <row r="90" spans="2:15" s="109" customFormat="1" ht="15" customHeight="1">
      <c r="B90" s="117"/>
      <c r="C90" s="109" t="s">
        <v>110</v>
      </c>
      <c r="F90" s="175"/>
      <c r="G90" s="136" t="str">
        <f>Feuil1!F96</f>
        <v>ACHETER</v>
      </c>
      <c r="H90" s="137">
        <f>Feuil1!G96</f>
        <v>100</v>
      </c>
      <c r="O90" s="118"/>
    </row>
    <row r="91" spans="2:15" s="109" customFormat="1" ht="15" customHeight="1">
      <c r="B91" s="117"/>
      <c r="C91" s="109" t="s">
        <v>111</v>
      </c>
      <c r="F91" s="175"/>
      <c r="G91" s="136" t="str">
        <f>Feuil1!F97</f>
        <v>ACHETER</v>
      </c>
      <c r="H91" s="137">
        <f>Feuil1!G97</f>
        <v>170</v>
      </c>
      <c r="O91" s="118"/>
    </row>
    <row r="92" spans="2:15" s="109" customFormat="1" ht="15" customHeight="1">
      <c r="B92" s="117"/>
      <c r="C92" s="109" t="s">
        <v>112</v>
      </c>
      <c r="F92" s="175"/>
      <c r="G92" s="136"/>
      <c r="H92" s="137"/>
      <c r="O92" s="118"/>
    </row>
    <row r="93" spans="2:15" s="109" customFormat="1" ht="15" customHeight="1">
      <c r="B93" s="117"/>
      <c r="C93" s="109" t="s">
        <v>113</v>
      </c>
      <c r="F93" s="175"/>
      <c r="G93" s="136"/>
      <c r="H93" s="137"/>
      <c r="O93" s="118"/>
    </row>
    <row r="94" spans="2:15" s="109" customFormat="1" ht="15" customHeight="1">
      <c r="B94" s="117"/>
      <c r="C94" s="109" t="s">
        <v>114</v>
      </c>
      <c r="F94" s="176"/>
      <c r="G94" s="136"/>
      <c r="H94" s="137"/>
      <c r="O94" s="118"/>
    </row>
    <row r="95" spans="2:15" s="109" customFormat="1" ht="15" customHeight="1">
      <c r="B95" s="119"/>
      <c r="C95" s="120"/>
      <c r="D95" s="120"/>
      <c r="E95" s="120"/>
      <c r="F95" s="124"/>
      <c r="G95" s="120"/>
      <c r="H95" s="120"/>
      <c r="I95" s="120"/>
      <c r="J95" s="120"/>
      <c r="K95" s="120"/>
      <c r="L95" s="120"/>
      <c r="M95" s="120"/>
      <c r="N95" s="120"/>
      <c r="O95" s="121"/>
    </row>
    <row r="97" spans="2:15" ht="15" customHeight="1">
      <c r="B97" s="122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6"/>
    </row>
    <row r="98" spans="2:15" ht="15" customHeight="1">
      <c r="B98" s="125" t="str">
        <f>IF(L9=1,"Messire",IF(L9=2,"Dame",""))</f>
        <v/>
      </c>
      <c r="C98" s="113" t="str">
        <f>IF(L4&lt;&gt;0,L4,"")</f>
        <v/>
      </c>
      <c r="D98" s="114" t="s">
        <v>130</v>
      </c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18"/>
    </row>
    <row r="99" spans="2:15" ht="15" customHeight="1">
      <c r="B99" s="117" t="s">
        <v>129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77"/>
      <c r="M99" s="178"/>
      <c r="N99" s="179"/>
      <c r="O99" s="118" t="s">
        <v>132</v>
      </c>
    </row>
    <row r="100" spans="2:15" ht="15" customHeight="1">
      <c r="B100" s="117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18"/>
    </row>
    <row r="101" spans="2:15" ht="15" customHeight="1">
      <c r="B101" s="117" t="s">
        <v>133</v>
      </c>
      <c r="C101" s="109"/>
      <c r="D101" s="109"/>
      <c r="E101" s="109"/>
      <c r="F101" s="109"/>
      <c r="G101" s="109"/>
      <c r="H101" s="109"/>
      <c r="I101" s="109"/>
      <c r="J101" s="109"/>
      <c r="K101" s="109"/>
      <c r="L101" s="173"/>
      <c r="M101" s="109" t="s">
        <v>131</v>
      </c>
      <c r="N101" s="109"/>
      <c r="O101" s="118"/>
    </row>
    <row r="102" spans="2:15" ht="15" customHeight="1">
      <c r="B102" s="117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18"/>
    </row>
    <row r="103" spans="2:15" ht="15" customHeight="1">
      <c r="B103" s="117" t="s">
        <v>134</v>
      </c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18"/>
    </row>
    <row r="104" spans="2:15" ht="15" customHeight="1">
      <c r="B104" s="117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18"/>
    </row>
    <row r="105" spans="2:15" ht="15" customHeight="1">
      <c r="B105" s="117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18"/>
    </row>
    <row r="106" spans="2:15" ht="15" customHeight="1">
      <c r="B106" s="117"/>
      <c r="C106" s="109"/>
      <c r="D106" s="173"/>
      <c r="E106" s="109"/>
      <c r="F106" s="109"/>
      <c r="G106" s="173"/>
      <c r="H106" s="109"/>
      <c r="I106" s="109"/>
      <c r="J106" s="173"/>
      <c r="K106" s="109"/>
      <c r="L106" s="109"/>
      <c r="M106" s="173"/>
      <c r="N106" s="109"/>
      <c r="O106" s="118"/>
    </row>
    <row r="107" spans="2:15" ht="15" customHeight="1">
      <c r="B107" s="117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18"/>
    </row>
    <row r="108" spans="2:15" ht="15" customHeight="1">
      <c r="B108" s="117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18"/>
    </row>
    <row r="109" spans="2:15" ht="15" customHeight="1">
      <c r="B109" s="117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18"/>
    </row>
    <row r="110" spans="2:15" ht="15" customHeight="1">
      <c r="B110" s="117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18"/>
    </row>
    <row r="111" spans="2:15" ht="15" customHeight="1">
      <c r="B111" s="117"/>
      <c r="C111" s="109"/>
      <c r="D111" s="173"/>
      <c r="E111" s="109"/>
      <c r="F111" s="109"/>
      <c r="G111" s="173"/>
      <c r="H111" s="109"/>
      <c r="I111" s="109"/>
      <c r="J111" s="173"/>
      <c r="K111" s="109"/>
      <c r="L111" s="109"/>
      <c r="M111" s="173"/>
      <c r="N111" s="109"/>
      <c r="O111" s="118"/>
    </row>
    <row r="112" spans="2:15" ht="15" customHeight="1">
      <c r="B112" s="117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18"/>
    </row>
    <row r="113" spans="2:15" ht="15" customHeight="1">
      <c r="B113" s="117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18"/>
    </row>
    <row r="114" spans="2:15" ht="15" customHeight="1">
      <c r="B114" s="117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18"/>
    </row>
    <row r="115" spans="2:15" ht="15" customHeight="1">
      <c r="B115" s="117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18"/>
    </row>
    <row r="116" spans="2:15" ht="15" customHeight="1">
      <c r="B116" s="117"/>
      <c r="C116" s="109"/>
      <c r="D116" s="173"/>
      <c r="E116" s="109"/>
      <c r="F116" s="109"/>
      <c r="G116" s="173"/>
      <c r="H116" s="109"/>
      <c r="I116" s="109"/>
      <c r="J116" s="173"/>
      <c r="K116" s="109"/>
      <c r="L116" s="109"/>
      <c r="M116" s="109"/>
      <c r="N116" s="109"/>
      <c r="O116" s="118"/>
    </row>
    <row r="117" spans="2:15" ht="15" customHeight="1">
      <c r="B117" s="117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18"/>
    </row>
    <row r="118" spans="2:15" ht="15" customHeight="1">
      <c r="B118" s="117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18"/>
    </row>
    <row r="119" spans="2:15" ht="15" customHeight="1">
      <c r="B119" s="117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18"/>
    </row>
    <row r="120" spans="2:15" ht="15" customHeight="1">
      <c r="B120" s="117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18"/>
    </row>
    <row r="121" spans="2:15" ht="15" customHeight="1">
      <c r="B121" s="117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18"/>
    </row>
    <row r="122" spans="2:15" ht="15" customHeight="1">
      <c r="B122" s="117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18"/>
    </row>
    <row r="123" spans="2:15" ht="15" customHeight="1">
      <c r="B123" s="117"/>
      <c r="C123" s="109"/>
      <c r="D123" s="173"/>
      <c r="E123" s="109"/>
      <c r="F123" s="109"/>
      <c r="G123" s="173"/>
      <c r="H123" s="109"/>
      <c r="I123" s="109"/>
      <c r="J123" s="173"/>
      <c r="K123" s="109"/>
      <c r="L123" s="109"/>
      <c r="M123" s="109"/>
      <c r="N123" s="109"/>
      <c r="O123" s="118"/>
    </row>
    <row r="124" spans="2:15" ht="15" customHeight="1">
      <c r="B124" s="117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18"/>
    </row>
    <row r="125" spans="2:15" ht="15" customHeight="1">
      <c r="B125" s="117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18"/>
    </row>
    <row r="126" spans="2:15" ht="15" customHeight="1">
      <c r="B126" s="119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1"/>
    </row>
    <row r="128" spans="2:15" ht="15" customHeight="1">
      <c r="B128" s="135" t="s">
        <v>136</v>
      </c>
      <c r="H128" s="160">
        <f>Feuil1!C9</f>
        <v>0</v>
      </c>
      <c r="I128" s="160"/>
      <c r="J128" s="160"/>
      <c r="K128" s="135" t="s">
        <v>135</v>
      </c>
    </row>
    <row r="129" spans="2:19" ht="15" customHeight="1">
      <c r="B129" s="135"/>
      <c r="H129" s="138"/>
      <c r="I129" s="138"/>
      <c r="J129" s="138"/>
      <c r="K129" s="135"/>
    </row>
    <row r="130" spans="2:19" ht="15" customHeight="1">
      <c r="B130" s="135" t="s">
        <v>143</v>
      </c>
      <c r="H130" s="160">
        <f>Feuil1!E4</f>
        <v>0</v>
      </c>
      <c r="I130" s="160"/>
      <c r="J130" s="160"/>
      <c r="K130" s="135" t="s">
        <v>142</v>
      </c>
    </row>
    <row r="131" spans="2:19" ht="15" customHeight="1">
      <c r="B131" s="135"/>
      <c r="H131" s="138"/>
      <c r="I131" s="138"/>
      <c r="J131" s="138"/>
      <c r="K131" s="135"/>
    </row>
    <row r="132" spans="2:19" ht="15" customHeight="1">
      <c r="B132" s="122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6"/>
    </row>
    <row r="133" spans="2:19" ht="15" customHeight="1">
      <c r="B133" s="141" t="s">
        <v>144</v>
      </c>
      <c r="C133" s="109"/>
      <c r="D133" s="109"/>
      <c r="E133" s="109"/>
      <c r="F133" s="109"/>
      <c r="G133" s="109"/>
      <c r="H133" s="177">
        <v>0</v>
      </c>
      <c r="I133" s="178"/>
      <c r="J133" s="179"/>
      <c r="K133" s="140" t="s">
        <v>142</v>
      </c>
      <c r="L133" s="109"/>
      <c r="M133" s="109"/>
      <c r="N133" s="109"/>
      <c r="O133" s="118"/>
    </row>
    <row r="134" spans="2:19" ht="15" customHeight="1">
      <c r="B134" s="119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1"/>
    </row>
    <row r="136" spans="2:19" ht="15" customHeight="1">
      <c r="O136" s="143"/>
    </row>
    <row r="137" spans="2:19" ht="15" customHeight="1">
      <c r="B137" s="135" t="str">
        <f>IF(H133&lt;&gt;0,"Avec cette somme, si vous souhaitez améliorer votre attaque, je vous conseille de recruter :","")</f>
        <v/>
      </c>
      <c r="I137" s="142" t="str">
        <f>IF(H133&lt;&gt;0,Feuil2!D17,"")</f>
        <v/>
      </c>
      <c r="J137" s="142" t="str">
        <f>IF(H133&lt;&gt;0,Feuil2!C17,"")</f>
        <v/>
      </c>
      <c r="L137" s="135" t="str">
        <f>IF(H133&lt;&gt;0,"pour un investissement réel de :","")</f>
        <v/>
      </c>
      <c r="O137" s="144" t="str">
        <f>IF(H133&lt;&gt;0,Feuil2!H17,"")</f>
        <v/>
      </c>
      <c r="P137" s="135" t="str">
        <f>IF(H133&lt;&gt;0,"pièces","")</f>
        <v/>
      </c>
      <c r="Q137" s="135" t="str">
        <f>IF(H133&lt;&gt;0,"niveau des améliorations :","")</f>
        <v/>
      </c>
      <c r="S137" s="135" t="str">
        <f>IF(H133&lt;&gt;0,Feuil2!I17,"")</f>
        <v/>
      </c>
    </row>
    <row r="138" spans="2:19" ht="15" customHeight="1">
      <c r="O138" s="143"/>
    </row>
    <row r="139" spans="2:19" ht="15" customHeight="1">
      <c r="B139" s="135" t="str">
        <f>IF(H133&lt;&gt;0,"Avec cette somme, si vous souhaitez améliorer votre défense, je vous conseille de recruter :","")</f>
        <v/>
      </c>
      <c r="I139" s="142" t="str">
        <f>IF(H133&lt;&gt;0,Feuil2!D18,"")</f>
        <v/>
      </c>
      <c r="J139" s="142" t="str">
        <f>IF(H133&lt;&gt;0,Feuil2!C18,"")</f>
        <v/>
      </c>
      <c r="L139" s="135" t="str">
        <f>IF(H133&lt;&gt;0,"pour un investissement réel de :","")</f>
        <v/>
      </c>
      <c r="O139" s="144" t="str">
        <f>IF(H133&lt;&gt;0,Feuil2!H18,"")</f>
        <v/>
      </c>
      <c r="P139" s="135" t="str">
        <f>IF(H133&lt;&gt;0,"pièces","")</f>
        <v/>
      </c>
      <c r="Q139" s="135" t="str">
        <f>IF(H133&lt;&gt;0,"niveau des améliorations :","")</f>
        <v/>
      </c>
      <c r="S139" s="135" t="str">
        <f>IF(H133&lt;&gt;0,Feuil2!I18,"")</f>
        <v/>
      </c>
    </row>
    <row r="140" spans="2:19" ht="15" customHeight="1">
      <c r="O140" s="143"/>
    </row>
    <row r="141" spans="2:19" ht="15" customHeight="1">
      <c r="B141" s="135" t="str">
        <f>IF(H133&lt;&gt;0,"Avec cette somme, si vous souhaitez augmenter vos revenus, je vous conseille de recruter :","")</f>
        <v/>
      </c>
      <c r="I141" s="142" t="str">
        <f>IF(H133&lt;&gt;0,Feuil2!D19,"")</f>
        <v/>
      </c>
      <c r="J141" s="142" t="str">
        <f>IF(H133&lt;&gt;0,Feuil2!C19,"")</f>
        <v/>
      </c>
      <c r="L141" s="135" t="str">
        <f>IF(H133&lt;&gt;0,"pour un investissement réel de :","")</f>
        <v/>
      </c>
      <c r="O141" s="144" t="str">
        <f>IF(H133&lt;&gt;0,Feuil2!H19,"")</f>
        <v/>
      </c>
      <c r="P141" s="135" t="str">
        <f>IF(H133&lt;&gt;0,"pièces","")</f>
        <v/>
      </c>
      <c r="Q141" s="135" t="str">
        <f>IF(H133&lt;&gt;0,"niveau des améliorations :","")</f>
        <v/>
      </c>
      <c r="S141" s="135" t="str">
        <f>IF(H133&lt;&gt;0,Feuil2!I19,"")</f>
        <v/>
      </c>
    </row>
  </sheetData>
  <sheetProtection password="EF93" sheet="1" objects="1" scenarios="1" selectLockedCells="1"/>
  <mergeCells count="9">
    <mergeCell ref="H128:J128"/>
    <mergeCell ref="K24:N24"/>
    <mergeCell ref="H133:J133"/>
    <mergeCell ref="H130:J130"/>
    <mergeCell ref="C24:F24"/>
    <mergeCell ref="C48:F48"/>
    <mergeCell ref="C72:F72"/>
    <mergeCell ref="L4:N4"/>
    <mergeCell ref="L99:N9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Y106"/>
  <sheetViews>
    <sheetView workbookViewId="0">
      <selection activeCell="N12" sqref="N12"/>
    </sheetView>
  </sheetViews>
  <sheetFormatPr baseColWidth="10" defaultRowHeight="15"/>
  <cols>
    <col min="1" max="1" width="11.42578125" style="8"/>
    <col min="2" max="2" width="28.7109375" style="9" bestFit="1" customWidth="1"/>
    <col min="3" max="4" width="15.140625" style="10" bestFit="1" customWidth="1"/>
    <col min="5" max="5" width="19" style="10" bestFit="1" customWidth="1"/>
    <col min="6" max="6" width="10" style="8" bestFit="1" customWidth="1"/>
    <col min="7" max="7" width="9.28515625" style="8" bestFit="1" customWidth="1"/>
    <col min="8" max="8" width="9.7109375" style="8" bestFit="1" customWidth="1"/>
    <col min="9" max="9" width="9" style="8" customWidth="1"/>
    <col min="10" max="10" width="14.85546875" style="8" customWidth="1"/>
    <col min="11" max="11" width="14.140625" style="8" customWidth="1"/>
    <col min="12" max="12" width="13.7109375" style="8" bestFit="1" customWidth="1"/>
    <col min="13" max="13" width="18.85546875" style="8" bestFit="1" customWidth="1"/>
    <col min="14" max="14" width="9.28515625" style="8" bestFit="1" customWidth="1"/>
    <col min="15" max="15" width="16.140625" style="8" bestFit="1" customWidth="1"/>
    <col min="16" max="16" width="14.140625" style="8" customWidth="1"/>
    <col min="17" max="17" width="13.28515625" style="8" customWidth="1"/>
    <col min="18" max="18" width="14.28515625" style="8" customWidth="1"/>
    <col min="19" max="19" width="13.28515625" style="8" customWidth="1"/>
    <col min="20" max="20" width="15.28515625" style="8" bestFit="1" customWidth="1"/>
    <col min="21" max="21" width="15.28515625" style="8" customWidth="1"/>
    <col min="22" max="22" width="17" style="8" customWidth="1"/>
    <col min="23" max="23" width="17.7109375" style="8" customWidth="1"/>
    <col min="24" max="24" width="17.85546875" style="8" customWidth="1"/>
    <col min="25" max="25" width="11.42578125" style="8" customWidth="1"/>
    <col min="26" max="16384" width="11.42578125" style="8"/>
  </cols>
  <sheetData>
    <row r="2" spans="2:13">
      <c r="B2" s="5" t="s">
        <v>0</v>
      </c>
      <c r="C2" s="6">
        <f>'LE CONSEILLER'!L4</f>
        <v>0</v>
      </c>
      <c r="D2" s="7"/>
      <c r="E2" s="7"/>
    </row>
    <row r="3" spans="2:13">
      <c r="B3" s="5" t="s">
        <v>1</v>
      </c>
      <c r="C3" s="6">
        <f>'LE CONSEILLER'!L14</f>
        <v>0</v>
      </c>
      <c r="D3" s="7"/>
      <c r="E3" s="7"/>
    </row>
    <row r="4" spans="2:13">
      <c r="B4" s="5" t="s">
        <v>28</v>
      </c>
      <c r="C4" s="81">
        <f>'LE CONSEILLER'!L99</f>
        <v>0</v>
      </c>
      <c r="D4" s="14" t="s">
        <v>69</v>
      </c>
      <c r="E4" s="82">
        <f>C4+V34+V57+V80</f>
        <v>0</v>
      </c>
    </row>
    <row r="5" spans="2:13">
      <c r="B5" s="5" t="s">
        <v>122</v>
      </c>
      <c r="C5" s="102">
        <f>'LE CONSEILLER'!H133</f>
        <v>0</v>
      </c>
      <c r="D5" s="12"/>
      <c r="E5" s="101"/>
    </row>
    <row r="6" spans="2:13">
      <c r="D6" s="11"/>
      <c r="E6" s="11"/>
    </row>
    <row r="7" spans="2:13">
      <c r="B7" s="5" t="s">
        <v>2</v>
      </c>
      <c r="C7" s="6">
        <f>'LE CONSEILLER'!L101</f>
        <v>0</v>
      </c>
      <c r="D7" s="7"/>
      <c r="E7" s="7"/>
      <c r="F7" s="12"/>
      <c r="G7" s="13"/>
    </row>
    <row r="8" spans="2:13">
      <c r="B8" s="14" t="s">
        <v>3</v>
      </c>
      <c r="C8" s="82">
        <f>SUM(E12:E26)</f>
        <v>0</v>
      </c>
      <c r="D8" s="13"/>
      <c r="E8" s="13"/>
      <c r="F8" s="16"/>
      <c r="G8" s="7"/>
    </row>
    <row r="9" spans="2:13">
      <c r="B9" s="14" t="s">
        <v>4</v>
      </c>
      <c r="C9" s="82">
        <f>C8*(1+C7/100)</f>
        <v>0</v>
      </c>
      <c r="D9" s="13"/>
      <c r="E9" s="13"/>
      <c r="F9" s="17"/>
      <c r="G9" s="18"/>
    </row>
    <row r="10" spans="2:13" s="19" customFormat="1">
      <c r="B10" s="12"/>
      <c r="C10" s="13"/>
      <c r="D10" s="13"/>
      <c r="E10" s="13"/>
      <c r="F10" s="12"/>
      <c r="G10" s="13"/>
    </row>
    <row r="11" spans="2:13" s="23" customFormat="1">
      <c r="B11" s="20" t="s">
        <v>5</v>
      </c>
      <c r="C11" s="5" t="s">
        <v>21</v>
      </c>
      <c r="D11" s="14" t="s">
        <v>18</v>
      </c>
      <c r="E11" s="14" t="s">
        <v>23</v>
      </c>
      <c r="F11" s="21" t="s">
        <v>19</v>
      </c>
      <c r="G11" s="21" t="s">
        <v>20</v>
      </c>
      <c r="H11" s="22" t="s">
        <v>24</v>
      </c>
      <c r="I11" s="22" t="s">
        <v>22</v>
      </c>
      <c r="J11" s="22" t="s">
        <v>67</v>
      </c>
      <c r="K11" s="22" t="s">
        <v>68</v>
      </c>
    </row>
    <row r="12" spans="2:13" s="19" customFormat="1">
      <c r="B12" s="24" t="s">
        <v>7</v>
      </c>
      <c r="C12" s="25">
        <f>'LE CONSEILLER'!D106</f>
        <v>0</v>
      </c>
      <c r="D12" s="1">
        <f t="shared" ref="D12:D22" si="0">(C12+10)*I12</f>
        <v>10500</v>
      </c>
      <c r="E12" s="1">
        <f t="shared" ref="E12:E22" si="1">H12*C12</f>
        <v>0</v>
      </c>
      <c r="F12" s="27">
        <v>3</v>
      </c>
      <c r="G12" s="27">
        <v>3</v>
      </c>
      <c r="H12" s="28">
        <v>100</v>
      </c>
      <c r="I12" s="28">
        <v>1050</v>
      </c>
      <c r="J12" s="28">
        <f>C12*F12</f>
        <v>0</v>
      </c>
      <c r="K12" s="28">
        <f>C12*G12</f>
        <v>0</v>
      </c>
      <c r="L12" s="19">
        <v>50</v>
      </c>
      <c r="M12" s="157">
        <f>L12*D12</f>
        <v>525000</v>
      </c>
    </row>
    <row r="13" spans="2:13" s="19" customFormat="1">
      <c r="B13" s="24" t="s">
        <v>8</v>
      </c>
      <c r="C13" s="25">
        <f>'LE CONSEILLER'!D111</f>
        <v>0</v>
      </c>
      <c r="D13" s="2">
        <f t="shared" si="0"/>
        <v>120000</v>
      </c>
      <c r="E13" s="2">
        <f t="shared" si="1"/>
        <v>0</v>
      </c>
      <c r="F13" s="27">
        <v>6</v>
      </c>
      <c r="G13" s="27">
        <v>4</v>
      </c>
      <c r="H13" s="28">
        <v>1000</v>
      </c>
      <c r="I13" s="28">
        <v>12000</v>
      </c>
      <c r="J13" s="28">
        <f t="shared" ref="J13:J26" si="2">C13*F13</f>
        <v>0</v>
      </c>
      <c r="K13" s="28">
        <f t="shared" ref="K13:K26" si="3">C13*G13</f>
        <v>0</v>
      </c>
      <c r="L13" s="19">
        <v>50</v>
      </c>
      <c r="M13" s="157">
        <f t="shared" ref="M13:M22" si="4">L13*D13</f>
        <v>6000000</v>
      </c>
    </row>
    <row r="14" spans="2:13" s="19" customFormat="1">
      <c r="B14" s="24" t="s">
        <v>9</v>
      </c>
      <c r="C14" s="25">
        <f>'LE CONSEILLER'!D116</f>
        <v>0</v>
      </c>
      <c r="D14" s="2">
        <f t="shared" si="0"/>
        <v>675000</v>
      </c>
      <c r="E14" s="2">
        <f t="shared" si="1"/>
        <v>0</v>
      </c>
      <c r="F14" s="27">
        <v>9</v>
      </c>
      <c r="G14" s="27">
        <v>11</v>
      </c>
      <c r="H14" s="28">
        <v>5000</v>
      </c>
      <c r="I14" s="28">
        <v>67500</v>
      </c>
      <c r="J14" s="28">
        <f t="shared" si="2"/>
        <v>0</v>
      </c>
      <c r="K14" s="28">
        <f t="shared" si="3"/>
        <v>0</v>
      </c>
      <c r="L14" s="19">
        <v>50</v>
      </c>
      <c r="M14" s="157">
        <f t="shared" si="4"/>
        <v>33750000</v>
      </c>
    </row>
    <row r="15" spans="2:13" s="19" customFormat="1">
      <c r="B15" s="24" t="s">
        <v>10</v>
      </c>
      <c r="C15" s="25">
        <f>'LE CONSEILLER'!G106</f>
        <v>0</v>
      </c>
      <c r="D15" s="2">
        <f t="shared" si="0"/>
        <v>3750000</v>
      </c>
      <c r="E15" s="2">
        <f t="shared" si="1"/>
        <v>0</v>
      </c>
      <c r="F15" s="27">
        <v>16</v>
      </c>
      <c r="G15" s="27">
        <v>14</v>
      </c>
      <c r="H15" s="28">
        <v>25000</v>
      </c>
      <c r="I15" s="28">
        <v>375000</v>
      </c>
      <c r="J15" s="28">
        <f t="shared" si="2"/>
        <v>0</v>
      </c>
      <c r="K15" s="28">
        <f t="shared" si="3"/>
        <v>0</v>
      </c>
      <c r="L15" s="19">
        <v>50</v>
      </c>
      <c r="M15" s="157">
        <f t="shared" si="4"/>
        <v>187500000</v>
      </c>
    </row>
    <row r="16" spans="2:13" s="19" customFormat="1">
      <c r="B16" s="24" t="s">
        <v>11</v>
      </c>
      <c r="C16" s="25">
        <f>'LE CONSEILLER'!G111</f>
        <v>0</v>
      </c>
      <c r="D16" s="2">
        <f t="shared" si="0"/>
        <v>24000000</v>
      </c>
      <c r="E16" s="2">
        <f t="shared" si="1"/>
        <v>0</v>
      </c>
      <c r="F16" s="27">
        <v>25</v>
      </c>
      <c r="G16" s="27">
        <v>25</v>
      </c>
      <c r="H16" s="28">
        <v>100000</v>
      </c>
      <c r="I16" s="28">
        <v>2400000</v>
      </c>
      <c r="J16" s="28">
        <f t="shared" si="2"/>
        <v>0</v>
      </c>
      <c r="K16" s="28">
        <f t="shared" si="3"/>
        <v>0</v>
      </c>
      <c r="L16" s="19">
        <v>50</v>
      </c>
      <c r="M16" s="157">
        <f t="shared" si="4"/>
        <v>1200000000</v>
      </c>
    </row>
    <row r="17" spans="2:13" s="19" customFormat="1">
      <c r="B17" s="24" t="s">
        <v>12</v>
      </c>
      <c r="C17" s="25">
        <f>'LE CONSEILLER'!G116</f>
        <v>0</v>
      </c>
      <c r="D17" s="2">
        <f t="shared" si="0"/>
        <v>67500000</v>
      </c>
      <c r="E17" s="2">
        <f t="shared" si="1"/>
        <v>0</v>
      </c>
      <c r="F17" s="27">
        <v>45</v>
      </c>
      <c r="G17" s="27">
        <v>42</v>
      </c>
      <c r="H17" s="28">
        <v>250000</v>
      </c>
      <c r="I17" s="28">
        <v>6750000</v>
      </c>
      <c r="J17" s="28">
        <f t="shared" si="2"/>
        <v>0</v>
      </c>
      <c r="K17" s="28">
        <f t="shared" si="3"/>
        <v>0</v>
      </c>
      <c r="L17" s="19">
        <v>50</v>
      </c>
      <c r="M17" s="157">
        <f t="shared" si="4"/>
        <v>3375000000</v>
      </c>
    </row>
    <row r="18" spans="2:13" s="19" customFormat="1">
      <c r="B18" s="24" t="s">
        <v>13</v>
      </c>
      <c r="C18" s="25">
        <f>'LE CONSEILLER'!J106</f>
        <v>0</v>
      </c>
      <c r="D18" s="2">
        <f t="shared" si="0"/>
        <v>112500000</v>
      </c>
      <c r="E18" s="2">
        <f t="shared" si="1"/>
        <v>0</v>
      </c>
      <c r="F18" s="27">
        <v>60</v>
      </c>
      <c r="G18" s="27">
        <v>66</v>
      </c>
      <c r="H18" s="28">
        <v>375000</v>
      </c>
      <c r="I18" s="28">
        <v>11250000</v>
      </c>
      <c r="J18" s="28">
        <f t="shared" si="2"/>
        <v>0</v>
      </c>
      <c r="K18" s="28">
        <f t="shared" si="3"/>
        <v>0</v>
      </c>
      <c r="L18" s="19">
        <v>50</v>
      </c>
      <c r="M18" s="157">
        <f t="shared" si="4"/>
        <v>5625000000</v>
      </c>
    </row>
    <row r="19" spans="2:13" s="19" customFormat="1">
      <c r="B19" s="24" t="s">
        <v>14</v>
      </c>
      <c r="C19" s="25">
        <f>'LE CONSEILLER'!J111</f>
        <v>0</v>
      </c>
      <c r="D19" s="2">
        <f t="shared" si="0"/>
        <v>202500000</v>
      </c>
      <c r="E19" s="2">
        <f t="shared" si="1"/>
        <v>0</v>
      </c>
      <c r="F19" s="27">
        <v>120</v>
      </c>
      <c r="G19" s="27">
        <v>110</v>
      </c>
      <c r="H19" s="28">
        <v>450000</v>
      </c>
      <c r="I19" s="28">
        <v>20250000</v>
      </c>
      <c r="J19" s="28">
        <f t="shared" si="2"/>
        <v>0</v>
      </c>
      <c r="K19" s="28">
        <f t="shared" si="3"/>
        <v>0</v>
      </c>
      <c r="L19" s="19">
        <v>50</v>
      </c>
      <c r="M19" s="157">
        <f t="shared" si="4"/>
        <v>10125000000</v>
      </c>
    </row>
    <row r="20" spans="2:13" s="19" customFormat="1">
      <c r="B20" s="24" t="s">
        <v>15</v>
      </c>
      <c r="C20" s="25">
        <f>'LE CONSEILLER'!J116</f>
        <v>0</v>
      </c>
      <c r="D20" s="2">
        <f t="shared" si="0"/>
        <v>306000000</v>
      </c>
      <c r="E20" s="2">
        <f t="shared" si="1"/>
        <v>0</v>
      </c>
      <c r="F20" s="27">
        <v>175</v>
      </c>
      <c r="G20" s="27">
        <v>180</v>
      </c>
      <c r="H20" s="28">
        <v>600000</v>
      </c>
      <c r="I20" s="28">
        <v>30600000</v>
      </c>
      <c r="J20" s="28">
        <f t="shared" si="2"/>
        <v>0</v>
      </c>
      <c r="K20" s="28">
        <f t="shared" si="3"/>
        <v>0</v>
      </c>
      <c r="L20" s="19">
        <v>50</v>
      </c>
      <c r="M20" s="157">
        <f t="shared" si="4"/>
        <v>15300000000</v>
      </c>
    </row>
    <row r="21" spans="2:13">
      <c r="B21" s="24" t="s">
        <v>16</v>
      </c>
      <c r="C21" s="25">
        <f>'LE CONSEILLER'!M106</f>
        <v>0</v>
      </c>
      <c r="D21" s="2">
        <f t="shared" si="0"/>
        <v>540000000</v>
      </c>
      <c r="E21" s="2">
        <f t="shared" si="1"/>
        <v>0</v>
      </c>
      <c r="F21" s="27">
        <v>220</v>
      </c>
      <c r="G21" s="27">
        <v>235</v>
      </c>
      <c r="H21" s="28">
        <v>900000</v>
      </c>
      <c r="I21" s="28">
        <v>54000000</v>
      </c>
      <c r="J21" s="28">
        <f t="shared" si="2"/>
        <v>0</v>
      </c>
      <c r="K21" s="28">
        <f t="shared" si="3"/>
        <v>0</v>
      </c>
      <c r="L21" s="19">
        <v>50</v>
      </c>
      <c r="M21" s="157">
        <f t="shared" si="4"/>
        <v>27000000000</v>
      </c>
    </row>
    <row r="22" spans="2:13">
      <c r="B22" s="30" t="s">
        <v>17</v>
      </c>
      <c r="C22" s="31">
        <f>'LE CONSEILLER'!M111</f>
        <v>0</v>
      </c>
      <c r="D22" s="3">
        <f t="shared" si="0"/>
        <v>990000000</v>
      </c>
      <c r="E22" s="3">
        <f t="shared" si="1"/>
        <v>0</v>
      </c>
      <c r="F22" s="33">
        <v>320</v>
      </c>
      <c r="G22" s="33">
        <v>310</v>
      </c>
      <c r="H22" s="34">
        <v>1500000</v>
      </c>
      <c r="I22" s="34">
        <v>99000000</v>
      </c>
      <c r="J22" s="34">
        <f t="shared" si="2"/>
        <v>0</v>
      </c>
      <c r="K22" s="34">
        <f t="shared" si="3"/>
        <v>0</v>
      </c>
      <c r="L22" s="19">
        <v>50</v>
      </c>
      <c r="M22" s="157">
        <f t="shared" si="4"/>
        <v>49500000000</v>
      </c>
    </row>
    <row r="23" spans="2:13">
      <c r="B23" s="12"/>
      <c r="H23" s="10"/>
      <c r="J23" s="91"/>
      <c r="K23" s="91"/>
    </row>
    <row r="24" spans="2:13" s="40" customFormat="1">
      <c r="B24" s="35" t="s">
        <v>25</v>
      </c>
      <c r="C24" s="36">
        <f>'LE CONSEILLER'!D123</f>
        <v>0</v>
      </c>
      <c r="D24" s="37" t="s">
        <v>33</v>
      </c>
      <c r="E24" s="26">
        <f>C24*H24</f>
        <v>0</v>
      </c>
      <c r="F24" s="38">
        <v>15</v>
      </c>
      <c r="G24" s="38">
        <v>12</v>
      </c>
      <c r="H24" s="39">
        <v>4200</v>
      </c>
      <c r="I24" s="39">
        <v>0</v>
      </c>
      <c r="J24" s="39">
        <f t="shared" si="2"/>
        <v>0</v>
      </c>
      <c r="K24" s="39">
        <f t="shared" si="3"/>
        <v>0</v>
      </c>
      <c r="M24" s="17"/>
    </row>
    <row r="25" spans="2:13">
      <c r="B25" s="41" t="s">
        <v>26</v>
      </c>
      <c r="C25" s="25">
        <f>'LE CONSEILLER'!G123</f>
        <v>0</v>
      </c>
      <c r="D25" s="42" t="s">
        <v>33</v>
      </c>
      <c r="E25" s="29">
        <f>C25*H25</f>
        <v>0</v>
      </c>
      <c r="F25" s="27">
        <v>200</v>
      </c>
      <c r="G25" s="27">
        <v>220</v>
      </c>
      <c r="H25" s="28">
        <v>600000</v>
      </c>
      <c r="I25" s="28">
        <v>0</v>
      </c>
      <c r="J25" s="28">
        <f t="shared" si="2"/>
        <v>0</v>
      </c>
      <c r="K25" s="28">
        <f t="shared" si="3"/>
        <v>0</v>
      </c>
      <c r="M25" s="139"/>
    </row>
    <row r="26" spans="2:13">
      <c r="B26" s="43" t="s">
        <v>27</v>
      </c>
      <c r="C26" s="31">
        <f>'LE CONSEILLER'!J123</f>
        <v>0</v>
      </c>
      <c r="D26" s="44" t="s">
        <v>33</v>
      </c>
      <c r="E26" s="32">
        <f>C26*H26</f>
        <v>0</v>
      </c>
      <c r="F26" s="33">
        <v>355</v>
      </c>
      <c r="G26" s="33">
        <v>375</v>
      </c>
      <c r="H26" s="34">
        <v>1400000</v>
      </c>
      <c r="I26" s="34">
        <v>0</v>
      </c>
      <c r="J26" s="34">
        <f t="shared" si="2"/>
        <v>0</v>
      </c>
      <c r="K26" s="34">
        <f t="shared" si="3"/>
        <v>0</v>
      </c>
    </row>
    <row r="27" spans="2:13">
      <c r="B27" s="12"/>
    </row>
    <row r="28" spans="2:13">
      <c r="B28" s="14" t="s">
        <v>29</v>
      </c>
      <c r="C28" s="15">
        <f>C3*5</f>
        <v>0</v>
      </c>
    </row>
    <row r="29" spans="2:13">
      <c r="B29" s="5" t="s">
        <v>30</v>
      </c>
      <c r="C29" s="6">
        <f>'LE CONSEILLER'!L16</f>
        <v>0</v>
      </c>
      <c r="E29" s="14" t="s">
        <v>65</v>
      </c>
      <c r="F29" s="15">
        <f>SUM(J12:J26,O34:O54,O57:O77,O80:O100,H103:H106)</f>
        <v>0</v>
      </c>
    </row>
    <row r="30" spans="2:13">
      <c r="B30" s="22" t="s">
        <v>31</v>
      </c>
      <c r="C30" s="45">
        <f>C28-C29</f>
        <v>0</v>
      </c>
      <c r="E30" s="14" t="s">
        <v>66</v>
      </c>
      <c r="F30" s="15">
        <f>SUM(K12:K26,P34:P54,P57:P77,P80:P100,I103:I106)</f>
        <v>0</v>
      </c>
    </row>
    <row r="31" spans="2:13">
      <c r="B31" s="14" t="s">
        <v>32</v>
      </c>
      <c r="C31" s="15" t="str">
        <f>IF(C30&gt;0,C30,"AUCUN")</f>
        <v>AUCUN</v>
      </c>
    </row>
    <row r="33" spans="2:25">
      <c r="B33" s="20" t="s">
        <v>34</v>
      </c>
      <c r="C33" s="47" t="s">
        <v>58</v>
      </c>
      <c r="D33" s="130" t="s">
        <v>21</v>
      </c>
      <c r="E33" s="37" t="s">
        <v>56</v>
      </c>
      <c r="F33" s="161" t="s">
        <v>60</v>
      </c>
      <c r="G33" s="166"/>
      <c r="H33" s="167" t="s">
        <v>61</v>
      </c>
      <c r="I33" s="168"/>
      <c r="J33" s="169"/>
      <c r="K33" s="22"/>
      <c r="L33" s="46" t="s">
        <v>18</v>
      </c>
      <c r="M33" s="20" t="s">
        <v>19</v>
      </c>
      <c r="N33" s="47" t="s">
        <v>20</v>
      </c>
      <c r="O33" s="22" t="s">
        <v>67</v>
      </c>
      <c r="P33" s="22" t="s">
        <v>68</v>
      </c>
      <c r="Q33" s="22" t="s">
        <v>55</v>
      </c>
      <c r="R33" s="22" t="s">
        <v>57</v>
      </c>
      <c r="S33" s="22" t="s">
        <v>59</v>
      </c>
      <c r="T33" s="20" t="s">
        <v>62</v>
      </c>
      <c r="U33" s="92" t="s">
        <v>63</v>
      </c>
      <c r="V33" s="84" t="s">
        <v>64</v>
      </c>
      <c r="W33" s="84" t="s">
        <v>70</v>
      </c>
      <c r="X33" s="84" t="s">
        <v>71</v>
      </c>
      <c r="Y33" s="92" t="s">
        <v>21</v>
      </c>
    </row>
    <row r="34" spans="2:25">
      <c r="B34" s="48" t="s">
        <v>35</v>
      </c>
      <c r="C34" s="63"/>
      <c r="D34" s="131">
        <f>'LE CONSEILLER'!F26</f>
        <v>0</v>
      </c>
      <c r="E34" s="127">
        <f t="shared" ref="E34:E54" si="5">IF(D34&lt;=R34,D34,R34)</f>
        <v>0</v>
      </c>
      <c r="F34" s="60" t="str">
        <f>IF(D34&lt;Q34,"ACHETER",H34)</f>
        <v>ACHETER</v>
      </c>
      <c r="G34" s="26">
        <f>IF(D34&lt;Q34,Q34-D34,I34)</f>
        <v>1</v>
      </c>
      <c r="H34" s="72" t="str">
        <f>IF(S34&gt;0,"VENDRE","")</f>
        <v/>
      </c>
      <c r="I34" s="87" t="str">
        <f t="shared" ref="I34:I54" si="6">IF(S34&gt;0,S34,"")</f>
        <v/>
      </c>
      <c r="J34" s="39">
        <f>IF(S34&gt;0,S34,0)</f>
        <v>0</v>
      </c>
      <c r="K34" s="73"/>
      <c r="L34" s="4">
        <v>3000</v>
      </c>
      <c r="M34" s="49">
        <v>1</v>
      </c>
      <c r="N34" s="50">
        <v>0</v>
      </c>
      <c r="O34" s="39">
        <f>E34*M34</f>
        <v>0</v>
      </c>
      <c r="P34" s="39">
        <f>E34*N34</f>
        <v>0</v>
      </c>
      <c r="Q34" s="39">
        <v>1</v>
      </c>
      <c r="R34" s="57">
        <f t="shared" ref="R34:R53" si="7">R35-E35</f>
        <v>0</v>
      </c>
      <c r="S34" s="58">
        <f t="shared" ref="S34:S51" si="8">(D34-Q34)-E34</f>
        <v>-1</v>
      </c>
      <c r="T34" s="75">
        <f>L34*60/100</f>
        <v>1800</v>
      </c>
      <c r="U34" s="85">
        <f>T34*J34</f>
        <v>0</v>
      </c>
      <c r="V34" s="84">
        <f>SUM(U34:U54)</f>
        <v>0</v>
      </c>
      <c r="W34" s="39">
        <f>C5/L34</f>
        <v>0</v>
      </c>
      <c r="X34" s="87">
        <f>ROUNDDOWN(W34,0)</f>
        <v>0</v>
      </c>
      <c r="Y34" s="57">
        <f>D34</f>
        <v>0</v>
      </c>
    </row>
    <row r="35" spans="2:25">
      <c r="B35" s="48" t="s">
        <v>36</v>
      </c>
      <c r="C35" s="63"/>
      <c r="D35" s="132">
        <f>'LE CONSEILLER'!F27</f>
        <v>0</v>
      </c>
      <c r="E35" s="128">
        <f t="shared" si="5"/>
        <v>0</v>
      </c>
      <c r="F35" s="61" t="str">
        <f t="shared" ref="F35:F51" si="9">IF(D35&lt;Q35,"ACHETER",H35)</f>
        <v/>
      </c>
      <c r="G35" s="29" t="str">
        <f t="shared" ref="G35:G51" si="10">IF(D35&lt;Q35,Q35-D35,I35)</f>
        <v/>
      </c>
      <c r="H35" s="73" t="str">
        <f t="shared" ref="H35:H51" si="11">IF(S35&gt;0,"VENDRE","")</f>
        <v/>
      </c>
      <c r="I35" s="88" t="str">
        <f t="shared" si="6"/>
        <v/>
      </c>
      <c r="J35" s="28">
        <f t="shared" ref="J35:J51" si="12">IF(S35&gt;0,S35,0)</f>
        <v>0</v>
      </c>
      <c r="K35" s="73"/>
      <c r="L35" s="4">
        <v>9600</v>
      </c>
      <c r="M35" s="49">
        <v>2</v>
      </c>
      <c r="N35" s="50">
        <v>0</v>
      </c>
      <c r="O35" s="28">
        <f t="shared" ref="O35:O54" si="13">E35*M35</f>
        <v>0</v>
      </c>
      <c r="P35" s="28">
        <f t="shared" ref="P35:P54" si="14">E35*N35</f>
        <v>0</v>
      </c>
      <c r="Q35" s="28">
        <v>0</v>
      </c>
      <c r="R35" s="58">
        <f t="shared" si="7"/>
        <v>0</v>
      </c>
      <c r="S35" s="58">
        <f t="shared" si="8"/>
        <v>0</v>
      </c>
      <c r="T35" s="76">
        <f t="shared" ref="T35:T51" si="15">L35*60/100</f>
        <v>5760</v>
      </c>
      <c r="U35" s="83">
        <f t="shared" ref="U35:U54" si="16">T35*J35</f>
        <v>0</v>
      </c>
      <c r="V35" s="74"/>
      <c r="W35" s="28">
        <f>C5/L35</f>
        <v>0</v>
      </c>
      <c r="X35" s="88">
        <f t="shared" ref="X35:X51" si="17">ROUNDDOWN(W35,0)</f>
        <v>0</v>
      </c>
      <c r="Y35" s="58">
        <f t="shared" ref="Y35:Y51" si="18">D35</f>
        <v>0</v>
      </c>
    </row>
    <row r="36" spans="2:25">
      <c r="B36" s="48" t="s">
        <v>37</v>
      </c>
      <c r="C36" s="63"/>
      <c r="D36" s="132">
        <f>'LE CONSEILLER'!F28</f>
        <v>0</v>
      </c>
      <c r="E36" s="128">
        <f t="shared" si="5"/>
        <v>0</v>
      </c>
      <c r="F36" s="61" t="str">
        <f t="shared" si="9"/>
        <v>ACHETER</v>
      </c>
      <c r="G36" s="29">
        <f t="shared" si="10"/>
        <v>2</v>
      </c>
      <c r="H36" s="73" t="str">
        <f t="shared" si="11"/>
        <v/>
      </c>
      <c r="I36" s="88" t="str">
        <f t="shared" si="6"/>
        <v/>
      </c>
      <c r="J36" s="28">
        <f t="shared" si="12"/>
        <v>0</v>
      </c>
      <c r="K36" s="73"/>
      <c r="L36" s="4">
        <v>30000</v>
      </c>
      <c r="M36" s="49">
        <v>4</v>
      </c>
      <c r="N36" s="50">
        <v>2</v>
      </c>
      <c r="O36" s="28">
        <f t="shared" si="13"/>
        <v>0</v>
      </c>
      <c r="P36" s="28">
        <f t="shared" si="14"/>
        <v>0</v>
      </c>
      <c r="Q36" s="28">
        <v>2</v>
      </c>
      <c r="R36" s="58">
        <f t="shared" si="7"/>
        <v>0</v>
      </c>
      <c r="S36" s="58">
        <f t="shared" si="8"/>
        <v>-2</v>
      </c>
      <c r="T36" s="76">
        <f t="shared" si="15"/>
        <v>18000</v>
      </c>
      <c r="U36" s="83">
        <f t="shared" si="16"/>
        <v>0</v>
      </c>
      <c r="W36" s="28">
        <f>C5/L36</f>
        <v>0</v>
      </c>
      <c r="X36" s="88">
        <f t="shared" si="17"/>
        <v>0</v>
      </c>
      <c r="Y36" s="58">
        <f t="shared" si="18"/>
        <v>0</v>
      </c>
    </row>
    <row r="37" spans="2:25">
      <c r="B37" s="48" t="s">
        <v>38</v>
      </c>
      <c r="C37" s="63"/>
      <c r="D37" s="132">
        <f>'LE CONSEILLER'!F29</f>
        <v>0</v>
      </c>
      <c r="E37" s="128">
        <f t="shared" si="5"/>
        <v>0</v>
      </c>
      <c r="F37" s="61" t="str">
        <f t="shared" si="9"/>
        <v>ACHETER</v>
      </c>
      <c r="G37" s="29">
        <f t="shared" si="10"/>
        <v>1</v>
      </c>
      <c r="H37" s="73" t="str">
        <f t="shared" si="11"/>
        <v/>
      </c>
      <c r="I37" s="88" t="str">
        <f t="shared" si="6"/>
        <v/>
      </c>
      <c r="J37" s="28">
        <f t="shared" si="12"/>
        <v>0</v>
      </c>
      <c r="K37" s="73"/>
      <c r="L37" s="4">
        <v>110000</v>
      </c>
      <c r="M37" s="49">
        <v>6</v>
      </c>
      <c r="N37" s="50">
        <v>4</v>
      </c>
      <c r="O37" s="28">
        <f t="shared" si="13"/>
        <v>0</v>
      </c>
      <c r="P37" s="28">
        <f t="shared" si="14"/>
        <v>0</v>
      </c>
      <c r="Q37" s="28">
        <v>1</v>
      </c>
      <c r="R37" s="58">
        <f t="shared" si="7"/>
        <v>0</v>
      </c>
      <c r="S37" s="58">
        <f t="shared" si="8"/>
        <v>-1</v>
      </c>
      <c r="T37" s="76">
        <f t="shared" si="15"/>
        <v>66000</v>
      </c>
      <c r="U37" s="83">
        <f t="shared" si="16"/>
        <v>0</v>
      </c>
      <c r="W37" s="28">
        <f>C5/L37</f>
        <v>0</v>
      </c>
      <c r="X37" s="88">
        <f t="shared" si="17"/>
        <v>0</v>
      </c>
      <c r="Y37" s="58">
        <f t="shared" si="18"/>
        <v>0</v>
      </c>
    </row>
    <row r="38" spans="2:25">
      <c r="B38" s="48" t="s">
        <v>39</v>
      </c>
      <c r="C38" s="63"/>
      <c r="D38" s="132">
        <f>'LE CONSEILLER'!F30</f>
        <v>0</v>
      </c>
      <c r="E38" s="128">
        <f t="shared" si="5"/>
        <v>0</v>
      </c>
      <c r="F38" s="61" t="str">
        <f t="shared" si="9"/>
        <v>ACHETER</v>
      </c>
      <c r="G38" s="29">
        <f t="shared" si="10"/>
        <v>3</v>
      </c>
      <c r="H38" s="73" t="str">
        <f t="shared" si="11"/>
        <v/>
      </c>
      <c r="I38" s="88" t="str">
        <f t="shared" si="6"/>
        <v/>
      </c>
      <c r="J38" s="28">
        <f t="shared" si="12"/>
        <v>0</v>
      </c>
      <c r="K38" s="73"/>
      <c r="L38" s="4">
        <v>210000</v>
      </c>
      <c r="M38" s="49">
        <v>8</v>
      </c>
      <c r="N38" s="50">
        <v>4</v>
      </c>
      <c r="O38" s="28">
        <f t="shared" si="13"/>
        <v>0</v>
      </c>
      <c r="P38" s="28">
        <f t="shared" si="14"/>
        <v>0</v>
      </c>
      <c r="Q38" s="28">
        <v>3</v>
      </c>
      <c r="R38" s="58">
        <f t="shared" si="7"/>
        <v>0</v>
      </c>
      <c r="S38" s="58">
        <f t="shared" si="8"/>
        <v>-3</v>
      </c>
      <c r="T38" s="76">
        <f t="shared" si="15"/>
        <v>126000</v>
      </c>
      <c r="U38" s="83">
        <f t="shared" si="16"/>
        <v>0</v>
      </c>
      <c r="W38" s="28">
        <f>C5/L38</f>
        <v>0</v>
      </c>
      <c r="X38" s="88">
        <f t="shared" si="17"/>
        <v>0</v>
      </c>
      <c r="Y38" s="58">
        <f t="shared" si="18"/>
        <v>0</v>
      </c>
    </row>
    <row r="39" spans="2:25">
      <c r="B39" s="48" t="s">
        <v>40</v>
      </c>
      <c r="C39" s="63"/>
      <c r="D39" s="132">
        <f>'LE CONSEILLER'!F31</f>
        <v>0</v>
      </c>
      <c r="E39" s="128">
        <f t="shared" si="5"/>
        <v>0</v>
      </c>
      <c r="F39" s="61" t="str">
        <f t="shared" si="9"/>
        <v>ACHETER</v>
      </c>
      <c r="G39" s="29">
        <f t="shared" si="10"/>
        <v>3</v>
      </c>
      <c r="H39" s="73" t="str">
        <f t="shared" si="11"/>
        <v/>
      </c>
      <c r="I39" s="88" t="str">
        <f t="shared" si="6"/>
        <v/>
      </c>
      <c r="J39" s="28">
        <f t="shared" si="12"/>
        <v>0</v>
      </c>
      <c r="K39" s="73"/>
      <c r="L39" s="4">
        <v>750000</v>
      </c>
      <c r="M39" s="49">
        <v>10</v>
      </c>
      <c r="N39" s="50">
        <v>8</v>
      </c>
      <c r="O39" s="28">
        <f t="shared" si="13"/>
        <v>0</v>
      </c>
      <c r="P39" s="28">
        <f t="shared" si="14"/>
        <v>0</v>
      </c>
      <c r="Q39" s="28">
        <v>3</v>
      </c>
      <c r="R39" s="58">
        <f t="shared" si="7"/>
        <v>0</v>
      </c>
      <c r="S39" s="58">
        <f t="shared" si="8"/>
        <v>-3</v>
      </c>
      <c r="T39" s="76">
        <f t="shared" si="15"/>
        <v>450000</v>
      </c>
      <c r="U39" s="83">
        <f t="shared" si="16"/>
        <v>0</v>
      </c>
      <c r="W39" s="28">
        <f>C5/L39</f>
        <v>0</v>
      </c>
      <c r="X39" s="88">
        <f t="shared" si="17"/>
        <v>0</v>
      </c>
      <c r="Y39" s="58">
        <f t="shared" si="18"/>
        <v>0</v>
      </c>
    </row>
    <row r="40" spans="2:25">
      <c r="B40" s="48" t="s">
        <v>41</v>
      </c>
      <c r="C40" s="63"/>
      <c r="D40" s="132">
        <f>'LE CONSEILLER'!F32</f>
        <v>0</v>
      </c>
      <c r="E40" s="128">
        <f t="shared" si="5"/>
        <v>0</v>
      </c>
      <c r="F40" s="61" t="str">
        <f t="shared" si="9"/>
        <v>ACHETER</v>
      </c>
      <c r="G40" s="29">
        <f t="shared" si="10"/>
        <v>11</v>
      </c>
      <c r="H40" s="73" t="str">
        <f t="shared" si="11"/>
        <v/>
      </c>
      <c r="I40" s="88" t="str">
        <f t="shared" si="6"/>
        <v/>
      </c>
      <c r="J40" s="28">
        <f t="shared" si="12"/>
        <v>0</v>
      </c>
      <c r="K40" s="73"/>
      <c r="L40" s="4">
        <v>1880000</v>
      </c>
      <c r="M40" s="49">
        <v>15</v>
      </c>
      <c r="N40" s="50">
        <v>9</v>
      </c>
      <c r="O40" s="28">
        <f t="shared" si="13"/>
        <v>0</v>
      </c>
      <c r="P40" s="28">
        <f t="shared" si="14"/>
        <v>0</v>
      </c>
      <c r="Q40" s="28">
        <v>11</v>
      </c>
      <c r="R40" s="58">
        <f t="shared" si="7"/>
        <v>0</v>
      </c>
      <c r="S40" s="58">
        <f t="shared" si="8"/>
        <v>-11</v>
      </c>
      <c r="T40" s="76">
        <f t="shared" si="15"/>
        <v>1128000</v>
      </c>
      <c r="U40" s="83">
        <f t="shared" si="16"/>
        <v>0</v>
      </c>
      <c r="W40" s="28">
        <f>C5/L40</f>
        <v>0</v>
      </c>
      <c r="X40" s="88">
        <f t="shared" si="17"/>
        <v>0</v>
      </c>
      <c r="Y40" s="58">
        <f t="shared" si="18"/>
        <v>0</v>
      </c>
    </row>
    <row r="41" spans="2:25">
      <c r="B41" s="48" t="s">
        <v>42</v>
      </c>
      <c r="C41" s="63"/>
      <c r="D41" s="132">
        <f>'LE CONSEILLER'!F33</f>
        <v>0</v>
      </c>
      <c r="E41" s="128">
        <f t="shared" si="5"/>
        <v>0</v>
      </c>
      <c r="F41" s="61" t="str">
        <f t="shared" si="9"/>
        <v>ACHETER</v>
      </c>
      <c r="G41" s="29">
        <f t="shared" si="10"/>
        <v>10</v>
      </c>
      <c r="H41" s="73" t="str">
        <f t="shared" si="11"/>
        <v/>
      </c>
      <c r="I41" s="88" t="str">
        <f t="shared" si="6"/>
        <v/>
      </c>
      <c r="J41" s="28">
        <f t="shared" si="12"/>
        <v>0</v>
      </c>
      <c r="K41" s="73"/>
      <c r="L41" s="4">
        <v>3800000</v>
      </c>
      <c r="M41" s="49">
        <v>19</v>
      </c>
      <c r="N41" s="50">
        <v>11</v>
      </c>
      <c r="O41" s="28">
        <f t="shared" si="13"/>
        <v>0</v>
      </c>
      <c r="P41" s="28">
        <f t="shared" si="14"/>
        <v>0</v>
      </c>
      <c r="Q41" s="28">
        <v>10</v>
      </c>
      <c r="R41" s="58">
        <f t="shared" si="7"/>
        <v>0</v>
      </c>
      <c r="S41" s="58">
        <f t="shared" si="8"/>
        <v>-10</v>
      </c>
      <c r="T41" s="76">
        <f t="shared" si="15"/>
        <v>2280000</v>
      </c>
      <c r="U41" s="83">
        <f t="shared" si="16"/>
        <v>0</v>
      </c>
      <c r="W41" s="28">
        <f>C5/L41</f>
        <v>0</v>
      </c>
      <c r="X41" s="88">
        <f t="shared" si="17"/>
        <v>0</v>
      </c>
      <c r="Y41" s="58">
        <f t="shared" si="18"/>
        <v>0</v>
      </c>
    </row>
    <row r="42" spans="2:25">
      <c r="B42" s="48" t="s">
        <v>43</v>
      </c>
      <c r="C42" s="63"/>
      <c r="D42" s="132">
        <f>'LE CONSEILLER'!F34</f>
        <v>0</v>
      </c>
      <c r="E42" s="128">
        <f t="shared" si="5"/>
        <v>0</v>
      </c>
      <c r="F42" s="61" t="str">
        <f t="shared" si="9"/>
        <v>ACHETER</v>
      </c>
      <c r="G42" s="29">
        <f t="shared" si="10"/>
        <v>17</v>
      </c>
      <c r="H42" s="73" t="str">
        <f t="shared" si="11"/>
        <v/>
      </c>
      <c r="I42" s="88" t="str">
        <f t="shared" si="6"/>
        <v/>
      </c>
      <c r="J42" s="28">
        <f t="shared" si="12"/>
        <v>0</v>
      </c>
      <c r="K42" s="73"/>
      <c r="L42" s="4">
        <v>7000000</v>
      </c>
      <c r="M42" s="49">
        <v>21</v>
      </c>
      <c r="N42" s="50">
        <v>16</v>
      </c>
      <c r="O42" s="28">
        <f t="shared" si="13"/>
        <v>0</v>
      </c>
      <c r="P42" s="28">
        <f t="shared" si="14"/>
        <v>0</v>
      </c>
      <c r="Q42" s="28">
        <v>17</v>
      </c>
      <c r="R42" s="58">
        <f t="shared" si="7"/>
        <v>0</v>
      </c>
      <c r="S42" s="58">
        <f t="shared" si="8"/>
        <v>-17</v>
      </c>
      <c r="T42" s="76">
        <f t="shared" si="15"/>
        <v>4200000</v>
      </c>
      <c r="U42" s="83">
        <f t="shared" si="16"/>
        <v>0</v>
      </c>
      <c r="W42" s="28">
        <f>C5/L42</f>
        <v>0</v>
      </c>
      <c r="X42" s="88">
        <f t="shared" si="17"/>
        <v>0</v>
      </c>
      <c r="Y42" s="58">
        <f t="shared" si="18"/>
        <v>0</v>
      </c>
    </row>
    <row r="43" spans="2:25">
      <c r="B43" s="48" t="s">
        <v>44</v>
      </c>
      <c r="C43" s="63"/>
      <c r="D43" s="132">
        <f>'LE CONSEILLER'!F35</f>
        <v>0</v>
      </c>
      <c r="E43" s="128">
        <f t="shared" si="5"/>
        <v>0</v>
      </c>
      <c r="F43" s="61" t="str">
        <f t="shared" si="9"/>
        <v>ACHETER</v>
      </c>
      <c r="G43" s="29">
        <f t="shared" si="10"/>
        <v>28</v>
      </c>
      <c r="H43" s="73" t="str">
        <f t="shared" si="11"/>
        <v/>
      </c>
      <c r="I43" s="88" t="str">
        <f t="shared" si="6"/>
        <v/>
      </c>
      <c r="J43" s="28">
        <f t="shared" si="12"/>
        <v>0</v>
      </c>
      <c r="K43" s="73"/>
      <c r="L43" s="4">
        <v>14000000</v>
      </c>
      <c r="M43" s="49">
        <v>23</v>
      </c>
      <c r="N43" s="50">
        <v>19</v>
      </c>
      <c r="O43" s="28">
        <f t="shared" si="13"/>
        <v>0</v>
      </c>
      <c r="P43" s="28">
        <f t="shared" si="14"/>
        <v>0</v>
      </c>
      <c r="Q43" s="28">
        <v>28</v>
      </c>
      <c r="R43" s="58">
        <f t="shared" si="7"/>
        <v>0</v>
      </c>
      <c r="S43" s="58">
        <f t="shared" si="8"/>
        <v>-28</v>
      </c>
      <c r="T43" s="76">
        <f t="shared" si="15"/>
        <v>8400000</v>
      </c>
      <c r="U43" s="83">
        <f t="shared" si="16"/>
        <v>0</v>
      </c>
      <c r="W43" s="28">
        <f>C5/L43</f>
        <v>0</v>
      </c>
      <c r="X43" s="88">
        <f t="shared" si="17"/>
        <v>0</v>
      </c>
      <c r="Y43" s="58">
        <f t="shared" si="18"/>
        <v>0</v>
      </c>
    </row>
    <row r="44" spans="2:25">
      <c r="B44" s="51" t="s">
        <v>45</v>
      </c>
      <c r="C44" s="64"/>
      <c r="D44" s="132">
        <f>'LE CONSEILLER'!F36</f>
        <v>0</v>
      </c>
      <c r="E44" s="128">
        <f t="shared" si="5"/>
        <v>0</v>
      </c>
      <c r="F44" s="61" t="str">
        <f t="shared" si="9"/>
        <v>ACHETER</v>
      </c>
      <c r="G44" s="29">
        <f t="shared" si="10"/>
        <v>40</v>
      </c>
      <c r="H44" s="73" t="str">
        <f t="shared" si="11"/>
        <v/>
      </c>
      <c r="I44" s="88" t="str">
        <f t="shared" si="6"/>
        <v/>
      </c>
      <c r="J44" s="28">
        <f t="shared" si="12"/>
        <v>0</v>
      </c>
      <c r="K44" s="73"/>
      <c r="L44" s="4">
        <v>28000000</v>
      </c>
      <c r="M44" s="49">
        <v>30</v>
      </c>
      <c r="N44" s="50">
        <v>22</v>
      </c>
      <c r="O44" s="28">
        <f t="shared" si="13"/>
        <v>0</v>
      </c>
      <c r="P44" s="28">
        <f t="shared" si="14"/>
        <v>0</v>
      </c>
      <c r="Q44" s="28">
        <v>40</v>
      </c>
      <c r="R44" s="58">
        <f t="shared" si="7"/>
        <v>0</v>
      </c>
      <c r="S44" s="58">
        <f t="shared" si="8"/>
        <v>-40</v>
      </c>
      <c r="T44" s="76">
        <f t="shared" si="15"/>
        <v>16800000</v>
      </c>
      <c r="U44" s="83">
        <f t="shared" si="16"/>
        <v>0</v>
      </c>
      <c r="W44" s="28">
        <f>C5/L44</f>
        <v>0</v>
      </c>
      <c r="X44" s="88">
        <f t="shared" si="17"/>
        <v>0</v>
      </c>
      <c r="Y44" s="58">
        <f t="shared" si="18"/>
        <v>0</v>
      </c>
    </row>
    <row r="45" spans="2:25">
      <c r="B45" s="48" t="s">
        <v>46</v>
      </c>
      <c r="C45" s="63"/>
      <c r="D45" s="132">
        <f>'LE CONSEILLER'!F37</f>
        <v>0</v>
      </c>
      <c r="E45" s="128">
        <f t="shared" si="5"/>
        <v>0</v>
      </c>
      <c r="F45" s="61" t="str">
        <f t="shared" si="9"/>
        <v>ACHETER</v>
      </c>
      <c r="G45" s="29">
        <f t="shared" si="10"/>
        <v>44</v>
      </c>
      <c r="H45" s="73" t="str">
        <f t="shared" si="11"/>
        <v/>
      </c>
      <c r="I45" s="88" t="str">
        <f t="shared" si="6"/>
        <v/>
      </c>
      <c r="J45" s="28">
        <f t="shared" si="12"/>
        <v>0</v>
      </c>
      <c r="K45" s="73"/>
      <c r="L45" s="4">
        <v>33000000</v>
      </c>
      <c r="M45" s="49">
        <v>33</v>
      </c>
      <c r="N45" s="50">
        <v>27</v>
      </c>
      <c r="O45" s="28">
        <f t="shared" si="13"/>
        <v>0</v>
      </c>
      <c r="P45" s="28">
        <f t="shared" si="14"/>
        <v>0</v>
      </c>
      <c r="Q45" s="28">
        <v>44</v>
      </c>
      <c r="R45" s="58">
        <f t="shared" si="7"/>
        <v>0</v>
      </c>
      <c r="S45" s="58">
        <f t="shared" si="8"/>
        <v>-44</v>
      </c>
      <c r="T45" s="76">
        <f t="shared" si="15"/>
        <v>19800000</v>
      </c>
      <c r="U45" s="83">
        <f t="shared" si="16"/>
        <v>0</v>
      </c>
      <c r="W45" s="28">
        <f>C5/L45</f>
        <v>0</v>
      </c>
      <c r="X45" s="88">
        <f t="shared" si="17"/>
        <v>0</v>
      </c>
      <c r="Y45" s="58">
        <f t="shared" si="18"/>
        <v>0</v>
      </c>
    </row>
    <row r="46" spans="2:25">
      <c r="B46" s="51" t="s">
        <v>47</v>
      </c>
      <c r="C46" s="64"/>
      <c r="D46" s="132">
        <f>'LE CONSEILLER'!F38</f>
        <v>0</v>
      </c>
      <c r="E46" s="128">
        <f t="shared" si="5"/>
        <v>0</v>
      </c>
      <c r="F46" s="61" t="str">
        <f t="shared" si="9"/>
        <v>ACHETER</v>
      </c>
      <c r="G46" s="29">
        <f t="shared" si="10"/>
        <v>49</v>
      </c>
      <c r="H46" s="73" t="str">
        <f t="shared" si="11"/>
        <v/>
      </c>
      <c r="I46" s="88" t="str">
        <f t="shared" si="6"/>
        <v/>
      </c>
      <c r="J46" s="28">
        <f t="shared" si="12"/>
        <v>0</v>
      </c>
      <c r="K46" s="73"/>
      <c r="L46" s="4">
        <v>40000000</v>
      </c>
      <c r="M46" s="49">
        <v>37</v>
      </c>
      <c r="N46" s="50">
        <v>31</v>
      </c>
      <c r="O46" s="28">
        <f t="shared" si="13"/>
        <v>0</v>
      </c>
      <c r="P46" s="28">
        <f t="shared" si="14"/>
        <v>0</v>
      </c>
      <c r="Q46" s="28">
        <v>49</v>
      </c>
      <c r="R46" s="58">
        <f t="shared" si="7"/>
        <v>0</v>
      </c>
      <c r="S46" s="58">
        <f t="shared" si="8"/>
        <v>-49</v>
      </c>
      <c r="T46" s="76">
        <f t="shared" si="15"/>
        <v>24000000</v>
      </c>
      <c r="U46" s="83">
        <f t="shared" si="16"/>
        <v>0</v>
      </c>
      <c r="W46" s="28">
        <f>C5/L46</f>
        <v>0</v>
      </c>
      <c r="X46" s="88">
        <f t="shared" si="17"/>
        <v>0</v>
      </c>
      <c r="Y46" s="58">
        <f t="shared" si="18"/>
        <v>0</v>
      </c>
    </row>
    <row r="47" spans="2:25">
      <c r="B47" s="48" t="s">
        <v>48</v>
      </c>
      <c r="C47" s="63"/>
      <c r="D47" s="132">
        <f>'LE CONSEILLER'!F39</f>
        <v>0</v>
      </c>
      <c r="E47" s="128">
        <f t="shared" si="5"/>
        <v>0</v>
      </c>
      <c r="F47" s="61" t="str">
        <f t="shared" si="9"/>
        <v>ACHETER</v>
      </c>
      <c r="G47" s="29">
        <f t="shared" si="10"/>
        <v>59</v>
      </c>
      <c r="H47" s="73" t="str">
        <f t="shared" si="11"/>
        <v/>
      </c>
      <c r="I47" s="88" t="str">
        <f t="shared" si="6"/>
        <v/>
      </c>
      <c r="J47" s="28">
        <f t="shared" si="12"/>
        <v>0</v>
      </c>
      <c r="K47" s="73"/>
      <c r="L47" s="4">
        <v>48000000</v>
      </c>
      <c r="M47" s="49">
        <v>43</v>
      </c>
      <c r="N47" s="50">
        <v>33</v>
      </c>
      <c r="O47" s="28">
        <f t="shared" si="13"/>
        <v>0</v>
      </c>
      <c r="P47" s="28">
        <f t="shared" si="14"/>
        <v>0</v>
      </c>
      <c r="Q47" s="28">
        <v>59</v>
      </c>
      <c r="R47" s="58">
        <f t="shared" si="7"/>
        <v>0</v>
      </c>
      <c r="S47" s="58">
        <f t="shared" si="8"/>
        <v>-59</v>
      </c>
      <c r="T47" s="76">
        <f t="shared" si="15"/>
        <v>28800000</v>
      </c>
      <c r="U47" s="83">
        <f t="shared" si="16"/>
        <v>0</v>
      </c>
      <c r="W47" s="28">
        <f>C5/L47</f>
        <v>0</v>
      </c>
      <c r="X47" s="88">
        <f t="shared" si="17"/>
        <v>0</v>
      </c>
      <c r="Y47" s="58">
        <f t="shared" si="18"/>
        <v>0</v>
      </c>
    </row>
    <row r="48" spans="2:25">
      <c r="B48" s="48" t="s">
        <v>49</v>
      </c>
      <c r="C48" s="63">
        <v>76</v>
      </c>
      <c r="D48" s="132">
        <f>'LE CONSEILLER'!F40</f>
        <v>0</v>
      </c>
      <c r="E48" s="128">
        <f t="shared" si="5"/>
        <v>0</v>
      </c>
      <c r="F48" s="61" t="str">
        <f t="shared" si="9"/>
        <v>ACHETER</v>
      </c>
      <c r="G48" s="29">
        <f t="shared" si="10"/>
        <v>79</v>
      </c>
      <c r="H48" s="73" t="str">
        <f t="shared" si="11"/>
        <v/>
      </c>
      <c r="I48" s="88" t="str">
        <f t="shared" si="6"/>
        <v/>
      </c>
      <c r="J48" s="28">
        <f t="shared" si="12"/>
        <v>0</v>
      </c>
      <c r="K48" s="73"/>
      <c r="L48" s="4">
        <v>60000000</v>
      </c>
      <c r="M48" s="49">
        <v>46</v>
      </c>
      <c r="N48" s="50">
        <v>40</v>
      </c>
      <c r="O48" s="28">
        <f t="shared" si="13"/>
        <v>0</v>
      </c>
      <c r="P48" s="28">
        <f t="shared" si="14"/>
        <v>0</v>
      </c>
      <c r="Q48" s="28">
        <v>79</v>
      </c>
      <c r="R48" s="58">
        <f t="shared" si="7"/>
        <v>0</v>
      </c>
      <c r="S48" s="58">
        <f t="shared" si="8"/>
        <v>-79</v>
      </c>
      <c r="T48" s="76">
        <f t="shared" si="15"/>
        <v>36000000</v>
      </c>
      <c r="U48" s="83">
        <f t="shared" si="16"/>
        <v>0</v>
      </c>
      <c r="W48" s="28">
        <f>C5/L48</f>
        <v>0</v>
      </c>
      <c r="X48" s="88">
        <f t="shared" si="17"/>
        <v>0</v>
      </c>
      <c r="Y48" s="58">
        <f t="shared" si="18"/>
        <v>0</v>
      </c>
    </row>
    <row r="49" spans="2:25">
      <c r="B49" s="48" t="s">
        <v>50</v>
      </c>
      <c r="C49" s="63"/>
      <c r="D49" s="132">
        <f>'LE CONSEILLER'!F41</f>
        <v>0</v>
      </c>
      <c r="E49" s="128">
        <f t="shared" si="5"/>
        <v>0</v>
      </c>
      <c r="F49" s="61" t="str">
        <f t="shared" si="9"/>
        <v>ACHETER</v>
      </c>
      <c r="G49" s="29">
        <f t="shared" si="10"/>
        <v>82</v>
      </c>
      <c r="H49" s="73" t="str">
        <f t="shared" si="11"/>
        <v/>
      </c>
      <c r="I49" s="88" t="str">
        <f t="shared" si="6"/>
        <v/>
      </c>
      <c r="J49" s="28">
        <f t="shared" si="12"/>
        <v>0</v>
      </c>
      <c r="K49" s="73"/>
      <c r="L49" s="4">
        <v>76000000</v>
      </c>
      <c r="M49" s="49">
        <v>50</v>
      </c>
      <c r="N49" s="50">
        <v>44</v>
      </c>
      <c r="O49" s="28">
        <f t="shared" si="13"/>
        <v>0</v>
      </c>
      <c r="P49" s="28">
        <f t="shared" si="14"/>
        <v>0</v>
      </c>
      <c r="Q49" s="28">
        <v>82</v>
      </c>
      <c r="R49" s="58">
        <f t="shared" si="7"/>
        <v>0</v>
      </c>
      <c r="S49" s="58">
        <f t="shared" si="8"/>
        <v>-82</v>
      </c>
      <c r="T49" s="76">
        <f t="shared" si="15"/>
        <v>45600000</v>
      </c>
      <c r="U49" s="83">
        <f t="shared" si="16"/>
        <v>0</v>
      </c>
      <c r="W49" s="28">
        <f>C5/L49</f>
        <v>0</v>
      </c>
      <c r="X49" s="88">
        <f t="shared" si="17"/>
        <v>0</v>
      </c>
      <c r="Y49" s="58">
        <f t="shared" si="18"/>
        <v>0</v>
      </c>
    </row>
    <row r="50" spans="2:25">
      <c r="B50" s="48" t="s">
        <v>51</v>
      </c>
      <c r="C50" s="63"/>
      <c r="D50" s="132">
        <f>'LE CONSEILLER'!F42</f>
        <v>0</v>
      </c>
      <c r="E50" s="128">
        <f t="shared" si="5"/>
        <v>0</v>
      </c>
      <c r="F50" s="61" t="str">
        <f t="shared" si="9"/>
        <v>ACHETER</v>
      </c>
      <c r="G50" s="29">
        <f t="shared" si="10"/>
        <v>125</v>
      </c>
      <c r="H50" s="73" t="str">
        <f t="shared" si="11"/>
        <v/>
      </c>
      <c r="I50" s="88" t="str">
        <f t="shared" si="6"/>
        <v/>
      </c>
      <c r="J50" s="28">
        <f t="shared" si="12"/>
        <v>0</v>
      </c>
      <c r="K50" s="73"/>
      <c r="L50" s="4">
        <v>96000000</v>
      </c>
      <c r="M50" s="49">
        <v>55</v>
      </c>
      <c r="N50" s="50">
        <v>49</v>
      </c>
      <c r="O50" s="28">
        <f t="shared" si="13"/>
        <v>0</v>
      </c>
      <c r="P50" s="28">
        <f t="shared" si="14"/>
        <v>0</v>
      </c>
      <c r="Q50" s="28">
        <v>125</v>
      </c>
      <c r="R50" s="58">
        <f t="shared" si="7"/>
        <v>0</v>
      </c>
      <c r="S50" s="58">
        <f t="shared" si="8"/>
        <v>-125</v>
      </c>
      <c r="T50" s="76">
        <f t="shared" si="15"/>
        <v>57600000</v>
      </c>
      <c r="U50" s="83">
        <f t="shared" si="16"/>
        <v>0</v>
      </c>
      <c r="W50" s="28">
        <f>C5/L50</f>
        <v>0</v>
      </c>
      <c r="X50" s="88">
        <f t="shared" si="17"/>
        <v>0</v>
      </c>
      <c r="Y50" s="58">
        <f t="shared" si="18"/>
        <v>0</v>
      </c>
    </row>
    <row r="51" spans="2:25">
      <c r="B51" s="48" t="s">
        <v>52</v>
      </c>
      <c r="C51" s="63"/>
      <c r="D51" s="133">
        <f>'LE CONSEILLER'!F43</f>
        <v>0</v>
      </c>
      <c r="E51" s="128">
        <f t="shared" si="5"/>
        <v>0</v>
      </c>
      <c r="F51" s="62" t="str">
        <f t="shared" si="9"/>
        <v>ACHETER</v>
      </c>
      <c r="G51" s="32">
        <f t="shared" si="10"/>
        <v>152</v>
      </c>
      <c r="H51" s="73" t="str">
        <f t="shared" si="11"/>
        <v/>
      </c>
      <c r="I51" s="88" t="str">
        <f t="shared" si="6"/>
        <v/>
      </c>
      <c r="J51" s="34">
        <f t="shared" si="12"/>
        <v>0</v>
      </c>
      <c r="K51" s="73"/>
      <c r="L51" s="4">
        <v>114000000</v>
      </c>
      <c r="M51" s="49">
        <v>60</v>
      </c>
      <c r="N51" s="50">
        <v>50</v>
      </c>
      <c r="O51" s="28">
        <f t="shared" si="13"/>
        <v>0</v>
      </c>
      <c r="P51" s="28">
        <f t="shared" si="14"/>
        <v>0</v>
      </c>
      <c r="Q51" s="28">
        <v>152</v>
      </c>
      <c r="R51" s="58">
        <f t="shared" si="7"/>
        <v>0</v>
      </c>
      <c r="S51" s="58">
        <f t="shared" si="8"/>
        <v>-152</v>
      </c>
      <c r="T51" s="76">
        <f t="shared" si="15"/>
        <v>68400000</v>
      </c>
      <c r="U51" s="83">
        <f t="shared" si="16"/>
        <v>0</v>
      </c>
      <c r="W51" s="34">
        <f>C5/L51</f>
        <v>0</v>
      </c>
      <c r="X51" s="89">
        <f t="shared" si="17"/>
        <v>0</v>
      </c>
      <c r="Y51" s="58">
        <f t="shared" si="18"/>
        <v>0</v>
      </c>
    </row>
    <row r="52" spans="2:25">
      <c r="B52" s="66" t="s">
        <v>53</v>
      </c>
      <c r="C52" s="67"/>
      <c r="D52" s="131">
        <f>'LE CONSEILLER'!F44</f>
        <v>0</v>
      </c>
      <c r="E52" s="127">
        <f t="shared" si="5"/>
        <v>0</v>
      </c>
      <c r="F52" s="61"/>
      <c r="G52" s="61"/>
      <c r="H52" s="39" t="str">
        <f>IF(D52&gt;E52,"VENDRE","")</f>
        <v/>
      </c>
      <c r="I52" s="87" t="str">
        <f t="shared" si="6"/>
        <v/>
      </c>
      <c r="J52" s="28">
        <f>IF(S52&gt;0,S52,0)</f>
        <v>0</v>
      </c>
      <c r="K52" s="73"/>
      <c r="L52" s="68">
        <v>0</v>
      </c>
      <c r="M52" s="69">
        <v>59</v>
      </c>
      <c r="N52" s="70">
        <v>53</v>
      </c>
      <c r="O52" s="39">
        <f t="shared" si="13"/>
        <v>0</v>
      </c>
      <c r="P52" s="39">
        <f t="shared" si="14"/>
        <v>0</v>
      </c>
      <c r="Q52" s="39"/>
      <c r="R52" s="57">
        <f t="shared" si="7"/>
        <v>0</v>
      </c>
      <c r="S52" s="78">
        <f>D52-E52</f>
        <v>0</v>
      </c>
      <c r="T52" s="75">
        <v>7800</v>
      </c>
      <c r="U52" s="85">
        <f t="shared" si="16"/>
        <v>0</v>
      </c>
      <c r="Y52" s="57">
        <f>D52</f>
        <v>0</v>
      </c>
    </row>
    <row r="53" spans="2:25">
      <c r="B53" s="48" t="s">
        <v>54</v>
      </c>
      <c r="C53" s="63"/>
      <c r="D53" s="132">
        <f>'LE CONSEILLER'!F45</f>
        <v>0</v>
      </c>
      <c r="E53" s="128">
        <f t="shared" si="5"/>
        <v>0</v>
      </c>
      <c r="F53" s="61"/>
      <c r="G53" s="61"/>
      <c r="H53" s="28" t="str">
        <f>IF(D53&gt;E53,"VENDRE","")</f>
        <v/>
      </c>
      <c r="I53" s="88" t="str">
        <f t="shared" si="6"/>
        <v/>
      </c>
      <c r="J53" s="28">
        <f>IF(S53&gt;0,S53,0)</f>
        <v>0</v>
      </c>
      <c r="K53" s="73"/>
      <c r="L53" s="52">
        <v>0</v>
      </c>
      <c r="M53" s="49">
        <v>350</v>
      </c>
      <c r="N53" s="50">
        <v>330</v>
      </c>
      <c r="O53" s="28">
        <f t="shared" si="13"/>
        <v>0</v>
      </c>
      <c r="P53" s="28">
        <f t="shared" si="14"/>
        <v>0</v>
      </c>
      <c r="Q53" s="28"/>
      <c r="R53" s="58">
        <f t="shared" si="7"/>
        <v>0</v>
      </c>
      <c r="S53" s="79">
        <f>D53-E53</f>
        <v>0</v>
      </c>
      <c r="T53" s="76">
        <v>3600000</v>
      </c>
      <c r="U53" s="83">
        <f t="shared" si="16"/>
        <v>0</v>
      </c>
      <c r="Y53" s="58">
        <f>D53</f>
        <v>0</v>
      </c>
    </row>
    <row r="54" spans="2:25">
      <c r="B54" s="53" t="s">
        <v>6</v>
      </c>
      <c r="C54" s="65"/>
      <c r="D54" s="133">
        <f>'LE CONSEILLER'!F46</f>
        <v>0</v>
      </c>
      <c r="E54" s="129">
        <f t="shared" si="5"/>
        <v>0</v>
      </c>
      <c r="F54" s="62"/>
      <c r="G54" s="62"/>
      <c r="H54" s="34" t="str">
        <f>IF(D54&gt;E54,"VENDRE","")</f>
        <v/>
      </c>
      <c r="I54" s="89" t="str">
        <f t="shared" si="6"/>
        <v/>
      </c>
      <c r="J54" s="34">
        <f>IF(S54&gt;0,S54,0)</f>
        <v>0</v>
      </c>
      <c r="K54" s="90"/>
      <c r="L54" s="54">
        <v>0</v>
      </c>
      <c r="M54" s="55">
        <v>870</v>
      </c>
      <c r="N54" s="56">
        <v>800</v>
      </c>
      <c r="O54" s="34">
        <f t="shared" si="13"/>
        <v>0</v>
      </c>
      <c r="P54" s="34">
        <f t="shared" si="14"/>
        <v>0</v>
      </c>
      <c r="Q54" s="34"/>
      <c r="R54" s="59">
        <f>C28</f>
        <v>0</v>
      </c>
      <c r="S54" s="80">
        <f>D54-E54</f>
        <v>0</v>
      </c>
      <c r="T54" s="77"/>
      <c r="U54" s="86">
        <f t="shared" si="16"/>
        <v>0</v>
      </c>
      <c r="Y54" s="59">
        <f>D54</f>
        <v>0</v>
      </c>
    </row>
    <row r="56" spans="2:25">
      <c r="B56" s="20" t="s">
        <v>72</v>
      </c>
      <c r="C56" s="47" t="s">
        <v>58</v>
      </c>
      <c r="D56" s="134" t="s">
        <v>21</v>
      </c>
      <c r="E56" s="93" t="s">
        <v>56</v>
      </c>
      <c r="F56" s="161" t="s">
        <v>60</v>
      </c>
      <c r="G56" s="162"/>
      <c r="H56" s="163" t="s">
        <v>61</v>
      </c>
      <c r="I56" s="164"/>
      <c r="J56" s="165"/>
      <c r="K56" s="71"/>
      <c r="L56" s="46" t="s">
        <v>18</v>
      </c>
      <c r="M56" s="20" t="s">
        <v>19</v>
      </c>
      <c r="N56" s="47" t="s">
        <v>20</v>
      </c>
      <c r="O56" s="22" t="s">
        <v>67</v>
      </c>
      <c r="P56" s="22" t="s">
        <v>68</v>
      </c>
      <c r="Q56" s="22" t="s">
        <v>55</v>
      </c>
      <c r="R56" s="22" t="s">
        <v>57</v>
      </c>
      <c r="S56" s="22" t="s">
        <v>59</v>
      </c>
      <c r="T56" s="20" t="s">
        <v>62</v>
      </c>
      <c r="U56" s="84" t="s">
        <v>63</v>
      </c>
      <c r="V56" s="84" t="s">
        <v>64</v>
      </c>
      <c r="W56" s="84" t="s">
        <v>70</v>
      </c>
      <c r="X56" s="84" t="s">
        <v>71</v>
      </c>
      <c r="Y56" s="92" t="s">
        <v>21</v>
      </c>
    </row>
    <row r="57" spans="2:25">
      <c r="B57" s="48" t="s">
        <v>73</v>
      </c>
      <c r="C57" s="63"/>
      <c r="D57" s="131">
        <f>'LE CONSEILLER'!F50</f>
        <v>0</v>
      </c>
      <c r="E57" s="127">
        <f t="shared" ref="E57:E77" si="19">IF(D57&lt;=R57,D57,R57)</f>
        <v>0</v>
      </c>
      <c r="F57" s="60" t="str">
        <f>IF(D57&lt;Q57,"ACHETER",H57)</f>
        <v>ACHETER</v>
      </c>
      <c r="G57" s="26">
        <f>IF(D57&lt;Q57,Q57-D57,I57)</f>
        <v>1</v>
      </c>
      <c r="H57" s="72" t="str">
        <f>IF(S57&gt;0,"VENDRE","")</f>
        <v/>
      </c>
      <c r="I57" s="87" t="str">
        <f t="shared" ref="I57:I77" si="20">IF(S57&gt;0,S57,"")</f>
        <v/>
      </c>
      <c r="J57" s="39">
        <f>IF(S57&gt;0,S57,0)</f>
        <v>0</v>
      </c>
      <c r="K57" s="73"/>
      <c r="L57" s="96">
        <v>3500</v>
      </c>
      <c r="M57" s="97">
        <v>0</v>
      </c>
      <c r="N57" s="97">
        <v>1</v>
      </c>
      <c r="O57" s="39">
        <f>E57*M57</f>
        <v>0</v>
      </c>
      <c r="P57" s="39">
        <f>E57*N57</f>
        <v>0</v>
      </c>
      <c r="Q57" s="39">
        <v>1</v>
      </c>
      <c r="R57" s="57">
        <f t="shared" ref="R57:R76" si="21">R58-E58</f>
        <v>0</v>
      </c>
      <c r="S57" s="58">
        <f t="shared" ref="S57:S74" si="22">(D57-Q57)-E57</f>
        <v>-1</v>
      </c>
      <c r="T57" s="75">
        <f>L57*60/100</f>
        <v>2100</v>
      </c>
      <c r="U57" s="85">
        <f>T57*J57</f>
        <v>0</v>
      </c>
      <c r="V57" s="84">
        <f>SUM(U57:U77)</f>
        <v>0</v>
      </c>
      <c r="W57" s="103">
        <f>C5/L57</f>
        <v>0</v>
      </c>
      <c r="X57" s="87">
        <f>ROUNDDOWN(W57,0)</f>
        <v>0</v>
      </c>
      <c r="Y57" s="57">
        <f>D57</f>
        <v>0</v>
      </c>
    </row>
    <row r="58" spans="2:25">
      <c r="B58" s="48" t="s">
        <v>74</v>
      </c>
      <c r="C58" s="63"/>
      <c r="D58" s="132">
        <f>'LE CONSEILLER'!F51</f>
        <v>0</v>
      </c>
      <c r="E58" s="128">
        <f t="shared" si="19"/>
        <v>0</v>
      </c>
      <c r="F58" s="61" t="str">
        <f t="shared" ref="F58:F74" si="23">IF(D58&lt;Q58,"ACHETER",H58)</f>
        <v>ACHETER</v>
      </c>
      <c r="G58" s="29">
        <f t="shared" ref="G58:G74" si="24">IF(D58&lt;Q58,Q58-D58,I58)</f>
        <v>1</v>
      </c>
      <c r="H58" s="73" t="str">
        <f t="shared" ref="H58:H74" si="25">IF(S58&gt;0,"VENDRE","")</f>
        <v/>
      </c>
      <c r="I58" s="88" t="str">
        <f t="shared" si="20"/>
        <v/>
      </c>
      <c r="J58" s="28">
        <f t="shared" ref="J58:J74" si="26">IF(S58&gt;0,S58,0)</f>
        <v>0</v>
      </c>
      <c r="K58" s="73"/>
      <c r="L58" s="96">
        <v>5400</v>
      </c>
      <c r="M58" s="97">
        <v>0</v>
      </c>
      <c r="N58" s="97">
        <v>2</v>
      </c>
      <c r="O58" s="28">
        <f t="shared" ref="O58:O77" si="27">E58*M58</f>
        <v>0</v>
      </c>
      <c r="P58" s="28">
        <f t="shared" ref="P58:P77" si="28">E58*N58</f>
        <v>0</v>
      </c>
      <c r="Q58" s="28">
        <v>1</v>
      </c>
      <c r="R58" s="58">
        <f t="shared" si="21"/>
        <v>0</v>
      </c>
      <c r="S58" s="58">
        <f t="shared" si="22"/>
        <v>-1</v>
      </c>
      <c r="T58" s="76">
        <f t="shared" ref="T58:T74" si="29">L58*60/100</f>
        <v>3240</v>
      </c>
      <c r="U58" s="83">
        <f t="shared" ref="U58:U77" si="30">T58*J58</f>
        <v>0</v>
      </c>
      <c r="V58" s="74"/>
      <c r="W58" s="100">
        <f>C5/L58</f>
        <v>0</v>
      </c>
      <c r="X58" s="88">
        <f t="shared" ref="X58:X74" si="31">ROUNDDOWN(W58,0)</f>
        <v>0</v>
      </c>
      <c r="Y58" s="58">
        <f t="shared" ref="Y58:Y77" si="32">D58</f>
        <v>0</v>
      </c>
    </row>
    <row r="59" spans="2:25">
      <c r="B59" s="48" t="s">
        <v>75</v>
      </c>
      <c r="C59" s="63"/>
      <c r="D59" s="132">
        <f>'LE CONSEILLER'!F52</f>
        <v>0</v>
      </c>
      <c r="E59" s="128">
        <f t="shared" si="19"/>
        <v>0</v>
      </c>
      <c r="F59" s="61" t="str">
        <f t="shared" si="23"/>
        <v>ACHETER</v>
      </c>
      <c r="G59" s="29">
        <f t="shared" si="24"/>
        <v>2</v>
      </c>
      <c r="H59" s="73" t="str">
        <f t="shared" si="25"/>
        <v/>
      </c>
      <c r="I59" s="88" t="str">
        <f t="shared" si="20"/>
        <v/>
      </c>
      <c r="J59" s="28">
        <f t="shared" si="26"/>
        <v>0</v>
      </c>
      <c r="K59" s="73"/>
      <c r="L59" s="96">
        <v>47700</v>
      </c>
      <c r="M59" s="97">
        <v>3</v>
      </c>
      <c r="N59" s="97">
        <v>5</v>
      </c>
      <c r="O59" s="28">
        <f t="shared" si="27"/>
        <v>0</v>
      </c>
      <c r="P59" s="28">
        <f t="shared" si="28"/>
        <v>0</v>
      </c>
      <c r="Q59" s="28">
        <v>2</v>
      </c>
      <c r="R59" s="58">
        <f t="shared" si="21"/>
        <v>0</v>
      </c>
      <c r="S59" s="58">
        <f t="shared" si="22"/>
        <v>-2</v>
      </c>
      <c r="T59" s="76">
        <f t="shared" si="29"/>
        <v>28620</v>
      </c>
      <c r="U59" s="83">
        <f t="shared" si="30"/>
        <v>0</v>
      </c>
      <c r="W59" s="100">
        <f>C5/L59</f>
        <v>0</v>
      </c>
      <c r="X59" s="88">
        <f t="shared" si="31"/>
        <v>0</v>
      </c>
      <c r="Y59" s="58">
        <f t="shared" si="32"/>
        <v>0</v>
      </c>
    </row>
    <row r="60" spans="2:25">
      <c r="B60" s="48" t="s">
        <v>76</v>
      </c>
      <c r="C60" s="63"/>
      <c r="D60" s="132">
        <f>'LE CONSEILLER'!F53</f>
        <v>0</v>
      </c>
      <c r="E60" s="128">
        <f t="shared" si="19"/>
        <v>0</v>
      </c>
      <c r="F60" s="61" t="str">
        <f t="shared" si="23"/>
        <v>ACHETER</v>
      </c>
      <c r="G60" s="29">
        <f t="shared" si="24"/>
        <v>1</v>
      </c>
      <c r="H60" s="73" t="str">
        <f t="shared" si="25"/>
        <v/>
      </c>
      <c r="I60" s="88" t="str">
        <f t="shared" si="20"/>
        <v/>
      </c>
      <c r="J60" s="28">
        <f t="shared" si="26"/>
        <v>0</v>
      </c>
      <c r="K60" s="73"/>
      <c r="L60" s="96">
        <v>150000</v>
      </c>
      <c r="M60" s="97">
        <v>5</v>
      </c>
      <c r="N60" s="97">
        <v>7</v>
      </c>
      <c r="O60" s="28">
        <f t="shared" si="27"/>
        <v>0</v>
      </c>
      <c r="P60" s="28">
        <f t="shared" si="28"/>
        <v>0</v>
      </c>
      <c r="Q60" s="28">
        <v>1</v>
      </c>
      <c r="R60" s="58">
        <f t="shared" si="21"/>
        <v>0</v>
      </c>
      <c r="S60" s="58">
        <f t="shared" si="22"/>
        <v>-1</v>
      </c>
      <c r="T60" s="76">
        <f t="shared" si="29"/>
        <v>90000</v>
      </c>
      <c r="U60" s="83">
        <f t="shared" si="30"/>
        <v>0</v>
      </c>
      <c r="W60" s="100">
        <f>C5/L60</f>
        <v>0</v>
      </c>
      <c r="X60" s="88">
        <f t="shared" si="31"/>
        <v>0</v>
      </c>
      <c r="Y60" s="58">
        <f t="shared" si="32"/>
        <v>0</v>
      </c>
    </row>
    <row r="61" spans="2:25">
      <c r="B61" s="48" t="s">
        <v>77</v>
      </c>
      <c r="C61" s="63"/>
      <c r="D61" s="132">
        <f>'LE CONSEILLER'!F54</f>
        <v>0</v>
      </c>
      <c r="E61" s="128">
        <f t="shared" si="19"/>
        <v>0</v>
      </c>
      <c r="F61" s="61" t="str">
        <f t="shared" si="23"/>
        <v>ACHETER</v>
      </c>
      <c r="G61" s="29">
        <f t="shared" si="24"/>
        <v>3</v>
      </c>
      <c r="H61" s="73" t="str">
        <f t="shared" si="25"/>
        <v/>
      </c>
      <c r="I61" s="88" t="str">
        <f t="shared" si="20"/>
        <v/>
      </c>
      <c r="J61" s="28">
        <f t="shared" si="26"/>
        <v>0</v>
      </c>
      <c r="K61" s="73"/>
      <c r="L61" s="96">
        <v>285000</v>
      </c>
      <c r="M61" s="97">
        <v>5</v>
      </c>
      <c r="N61" s="97">
        <v>9</v>
      </c>
      <c r="O61" s="28">
        <f t="shared" si="27"/>
        <v>0</v>
      </c>
      <c r="P61" s="28">
        <f t="shared" si="28"/>
        <v>0</v>
      </c>
      <c r="Q61" s="28">
        <v>3</v>
      </c>
      <c r="R61" s="58">
        <f t="shared" si="21"/>
        <v>0</v>
      </c>
      <c r="S61" s="58">
        <f t="shared" si="22"/>
        <v>-3</v>
      </c>
      <c r="T61" s="76">
        <f t="shared" si="29"/>
        <v>171000</v>
      </c>
      <c r="U61" s="83">
        <f t="shared" si="30"/>
        <v>0</v>
      </c>
      <c r="W61" s="100">
        <f>C5/L61</f>
        <v>0</v>
      </c>
      <c r="X61" s="88">
        <f t="shared" si="31"/>
        <v>0</v>
      </c>
      <c r="Y61" s="58">
        <f t="shared" si="32"/>
        <v>0</v>
      </c>
    </row>
    <row r="62" spans="2:25">
      <c r="B62" s="48" t="s">
        <v>78</v>
      </c>
      <c r="C62" s="63"/>
      <c r="D62" s="132">
        <f>'LE CONSEILLER'!F55</f>
        <v>0</v>
      </c>
      <c r="E62" s="128">
        <f t="shared" si="19"/>
        <v>0</v>
      </c>
      <c r="F62" s="61" t="str">
        <f t="shared" si="23"/>
        <v>ACHETER</v>
      </c>
      <c r="G62" s="29">
        <f t="shared" si="24"/>
        <v>1</v>
      </c>
      <c r="H62" s="73" t="str">
        <f t="shared" si="25"/>
        <v/>
      </c>
      <c r="I62" s="88" t="str">
        <f t="shared" si="20"/>
        <v/>
      </c>
      <c r="J62" s="28">
        <f t="shared" si="26"/>
        <v>0</v>
      </c>
      <c r="K62" s="73"/>
      <c r="L62" s="96">
        <v>600000</v>
      </c>
      <c r="M62" s="97">
        <v>6</v>
      </c>
      <c r="N62" s="97">
        <v>10</v>
      </c>
      <c r="O62" s="28">
        <f t="shared" si="27"/>
        <v>0</v>
      </c>
      <c r="P62" s="28">
        <f t="shared" si="28"/>
        <v>0</v>
      </c>
      <c r="Q62" s="28">
        <v>1</v>
      </c>
      <c r="R62" s="58">
        <f t="shared" si="21"/>
        <v>0</v>
      </c>
      <c r="S62" s="58">
        <f t="shared" si="22"/>
        <v>-1</v>
      </c>
      <c r="T62" s="76">
        <f t="shared" si="29"/>
        <v>360000</v>
      </c>
      <c r="U62" s="83">
        <f t="shared" si="30"/>
        <v>0</v>
      </c>
      <c r="W62" s="100">
        <f>C5/L62</f>
        <v>0</v>
      </c>
      <c r="X62" s="88">
        <f t="shared" si="31"/>
        <v>0</v>
      </c>
      <c r="Y62" s="58">
        <f t="shared" si="32"/>
        <v>0</v>
      </c>
    </row>
    <row r="63" spans="2:25">
      <c r="B63" s="48" t="s">
        <v>79</v>
      </c>
      <c r="C63" s="63"/>
      <c r="D63" s="132">
        <f>'LE CONSEILLER'!F56</f>
        <v>0</v>
      </c>
      <c r="E63" s="128">
        <f t="shared" si="19"/>
        <v>0</v>
      </c>
      <c r="F63" s="61" t="str">
        <f t="shared" si="23"/>
        <v>ACHETER</v>
      </c>
      <c r="G63" s="29">
        <f t="shared" si="24"/>
        <v>10</v>
      </c>
      <c r="H63" s="73" t="str">
        <f t="shared" si="25"/>
        <v/>
      </c>
      <c r="I63" s="88" t="str">
        <f t="shared" si="20"/>
        <v/>
      </c>
      <c r="J63" s="28">
        <f t="shared" si="26"/>
        <v>0</v>
      </c>
      <c r="K63" s="73"/>
      <c r="L63" s="96">
        <v>2550000</v>
      </c>
      <c r="M63" s="97">
        <v>12</v>
      </c>
      <c r="N63" s="97">
        <v>15</v>
      </c>
      <c r="O63" s="28">
        <f t="shared" si="27"/>
        <v>0</v>
      </c>
      <c r="P63" s="28">
        <f t="shared" si="28"/>
        <v>0</v>
      </c>
      <c r="Q63" s="28">
        <v>10</v>
      </c>
      <c r="R63" s="58">
        <f t="shared" si="21"/>
        <v>0</v>
      </c>
      <c r="S63" s="58">
        <f t="shared" si="22"/>
        <v>-10</v>
      </c>
      <c r="T63" s="76">
        <f t="shared" si="29"/>
        <v>1530000</v>
      </c>
      <c r="U63" s="83">
        <f t="shared" si="30"/>
        <v>0</v>
      </c>
      <c r="W63" s="100">
        <f>C5/L63</f>
        <v>0</v>
      </c>
      <c r="X63" s="88">
        <f t="shared" si="31"/>
        <v>0</v>
      </c>
      <c r="Y63" s="58">
        <f t="shared" si="32"/>
        <v>0</v>
      </c>
    </row>
    <row r="64" spans="2:25">
      <c r="B64" s="48" t="s">
        <v>80</v>
      </c>
      <c r="C64" s="63"/>
      <c r="D64" s="132">
        <f>'LE CONSEILLER'!F57</f>
        <v>0</v>
      </c>
      <c r="E64" s="128">
        <f t="shared" si="19"/>
        <v>0</v>
      </c>
      <c r="F64" s="61" t="str">
        <f t="shared" si="23"/>
        <v>ACHETER</v>
      </c>
      <c r="G64" s="29">
        <f t="shared" si="24"/>
        <v>14</v>
      </c>
      <c r="H64" s="73" t="str">
        <f t="shared" si="25"/>
        <v/>
      </c>
      <c r="I64" s="88" t="str">
        <f t="shared" si="20"/>
        <v/>
      </c>
      <c r="J64" s="28">
        <f t="shared" si="26"/>
        <v>0</v>
      </c>
      <c r="K64" s="73"/>
      <c r="L64" s="96">
        <v>5600000</v>
      </c>
      <c r="M64" s="97">
        <v>13</v>
      </c>
      <c r="N64" s="97">
        <v>20</v>
      </c>
      <c r="O64" s="28">
        <f t="shared" si="27"/>
        <v>0</v>
      </c>
      <c r="P64" s="28">
        <f t="shared" si="28"/>
        <v>0</v>
      </c>
      <c r="Q64" s="28">
        <v>14</v>
      </c>
      <c r="R64" s="58">
        <f t="shared" si="21"/>
        <v>0</v>
      </c>
      <c r="S64" s="58">
        <f t="shared" si="22"/>
        <v>-14</v>
      </c>
      <c r="T64" s="76">
        <f t="shared" si="29"/>
        <v>3360000</v>
      </c>
      <c r="U64" s="83">
        <f t="shared" si="30"/>
        <v>0</v>
      </c>
      <c r="W64" s="100">
        <f>C5/L64</f>
        <v>0</v>
      </c>
      <c r="X64" s="88">
        <f t="shared" si="31"/>
        <v>0</v>
      </c>
      <c r="Y64" s="58">
        <f t="shared" si="32"/>
        <v>0</v>
      </c>
    </row>
    <row r="65" spans="2:25">
      <c r="B65" s="48" t="s">
        <v>81</v>
      </c>
      <c r="C65" s="63"/>
      <c r="D65" s="132">
        <f>'LE CONSEILLER'!F58</f>
        <v>0</v>
      </c>
      <c r="E65" s="128">
        <f t="shared" si="19"/>
        <v>0</v>
      </c>
      <c r="F65" s="61" t="str">
        <f t="shared" si="23"/>
        <v>ACHETER</v>
      </c>
      <c r="G65" s="29">
        <f t="shared" si="24"/>
        <v>19</v>
      </c>
      <c r="H65" s="73" t="str">
        <f t="shared" si="25"/>
        <v/>
      </c>
      <c r="I65" s="88" t="str">
        <f t="shared" si="20"/>
        <v/>
      </c>
      <c r="J65" s="28">
        <f t="shared" si="26"/>
        <v>0</v>
      </c>
      <c r="K65" s="73"/>
      <c r="L65" s="96">
        <v>8750000</v>
      </c>
      <c r="M65" s="97">
        <v>16</v>
      </c>
      <c r="N65" s="97">
        <v>22</v>
      </c>
      <c r="O65" s="28">
        <f t="shared" si="27"/>
        <v>0</v>
      </c>
      <c r="P65" s="28">
        <f t="shared" si="28"/>
        <v>0</v>
      </c>
      <c r="Q65" s="28">
        <v>19</v>
      </c>
      <c r="R65" s="58">
        <f t="shared" si="21"/>
        <v>0</v>
      </c>
      <c r="S65" s="58">
        <f t="shared" si="22"/>
        <v>-19</v>
      </c>
      <c r="T65" s="76">
        <f t="shared" si="29"/>
        <v>5250000</v>
      </c>
      <c r="U65" s="83">
        <f t="shared" si="30"/>
        <v>0</v>
      </c>
      <c r="W65" s="100">
        <f>C5/L65</f>
        <v>0</v>
      </c>
      <c r="X65" s="88">
        <f t="shared" si="31"/>
        <v>0</v>
      </c>
      <c r="Y65" s="58">
        <f t="shared" si="32"/>
        <v>0</v>
      </c>
    </row>
    <row r="66" spans="2:25">
      <c r="B66" s="48" t="s">
        <v>82</v>
      </c>
      <c r="C66" s="63"/>
      <c r="D66" s="132">
        <f>'LE CONSEILLER'!F59</f>
        <v>0</v>
      </c>
      <c r="E66" s="128">
        <f t="shared" si="19"/>
        <v>0</v>
      </c>
      <c r="F66" s="61" t="str">
        <f t="shared" si="23"/>
        <v>ACHETER</v>
      </c>
      <c r="G66" s="29">
        <f t="shared" si="24"/>
        <v>15</v>
      </c>
      <c r="H66" s="73" t="str">
        <f t="shared" si="25"/>
        <v/>
      </c>
      <c r="I66" s="88" t="str">
        <f t="shared" si="20"/>
        <v/>
      </c>
      <c r="J66" s="28">
        <f t="shared" si="26"/>
        <v>0</v>
      </c>
      <c r="K66" s="73"/>
      <c r="L66" s="96">
        <v>12800000</v>
      </c>
      <c r="M66" s="97">
        <v>18</v>
      </c>
      <c r="N66" s="97">
        <v>24</v>
      </c>
      <c r="O66" s="28">
        <f t="shared" si="27"/>
        <v>0</v>
      </c>
      <c r="P66" s="28">
        <f t="shared" si="28"/>
        <v>0</v>
      </c>
      <c r="Q66" s="28">
        <v>15</v>
      </c>
      <c r="R66" s="58">
        <f t="shared" si="21"/>
        <v>0</v>
      </c>
      <c r="S66" s="58">
        <f t="shared" si="22"/>
        <v>-15</v>
      </c>
      <c r="T66" s="76">
        <f t="shared" si="29"/>
        <v>7680000</v>
      </c>
      <c r="U66" s="83">
        <f t="shared" si="30"/>
        <v>0</v>
      </c>
      <c r="W66" s="100">
        <f>C5/L66</f>
        <v>0</v>
      </c>
      <c r="X66" s="88">
        <f t="shared" si="31"/>
        <v>0</v>
      </c>
      <c r="Y66" s="58">
        <f t="shared" si="32"/>
        <v>0</v>
      </c>
    </row>
    <row r="67" spans="2:25">
      <c r="B67" s="51" t="s">
        <v>83</v>
      </c>
      <c r="C67" s="64"/>
      <c r="D67" s="132">
        <f>'LE CONSEILLER'!F60</f>
        <v>0</v>
      </c>
      <c r="E67" s="128">
        <f t="shared" si="19"/>
        <v>0</v>
      </c>
      <c r="F67" s="61" t="str">
        <f t="shared" si="23"/>
        <v>ACHETER</v>
      </c>
      <c r="G67" s="29">
        <f t="shared" si="24"/>
        <v>44</v>
      </c>
      <c r="H67" s="73" t="str">
        <f t="shared" si="25"/>
        <v/>
      </c>
      <c r="I67" s="88" t="str">
        <f t="shared" si="20"/>
        <v/>
      </c>
      <c r="J67" s="28">
        <f t="shared" si="26"/>
        <v>0</v>
      </c>
      <c r="K67" s="73"/>
      <c r="L67" s="96">
        <v>29000000</v>
      </c>
      <c r="M67" s="97">
        <v>25</v>
      </c>
      <c r="N67" s="97">
        <v>29</v>
      </c>
      <c r="O67" s="28">
        <f t="shared" si="27"/>
        <v>0</v>
      </c>
      <c r="P67" s="28">
        <f t="shared" si="28"/>
        <v>0</v>
      </c>
      <c r="Q67" s="28">
        <v>44</v>
      </c>
      <c r="R67" s="58">
        <f t="shared" si="21"/>
        <v>0</v>
      </c>
      <c r="S67" s="58">
        <f t="shared" si="22"/>
        <v>-44</v>
      </c>
      <c r="T67" s="76">
        <f t="shared" si="29"/>
        <v>17400000</v>
      </c>
      <c r="U67" s="83">
        <f t="shared" si="30"/>
        <v>0</v>
      </c>
      <c r="W67" s="100">
        <f>C5/L67</f>
        <v>0</v>
      </c>
      <c r="X67" s="88">
        <f t="shared" si="31"/>
        <v>0</v>
      </c>
      <c r="Y67" s="58">
        <f t="shared" si="32"/>
        <v>0</v>
      </c>
    </row>
    <row r="68" spans="2:25">
      <c r="B68" s="48" t="s">
        <v>84</v>
      </c>
      <c r="C68" s="63"/>
      <c r="D68" s="132">
        <f>'LE CONSEILLER'!F61</f>
        <v>0</v>
      </c>
      <c r="E68" s="128">
        <f t="shared" si="19"/>
        <v>0</v>
      </c>
      <c r="F68" s="61" t="str">
        <f t="shared" si="23"/>
        <v>ACHETER</v>
      </c>
      <c r="G68" s="29">
        <f t="shared" si="24"/>
        <v>40</v>
      </c>
      <c r="H68" s="73" t="str">
        <f t="shared" si="25"/>
        <v/>
      </c>
      <c r="I68" s="88" t="str">
        <f t="shared" si="20"/>
        <v/>
      </c>
      <c r="J68" s="28">
        <f t="shared" si="26"/>
        <v>0</v>
      </c>
      <c r="K68" s="73"/>
      <c r="L68" s="96">
        <v>34000000</v>
      </c>
      <c r="M68" s="97">
        <v>28</v>
      </c>
      <c r="N68" s="97">
        <v>36</v>
      </c>
      <c r="O68" s="28">
        <f t="shared" si="27"/>
        <v>0</v>
      </c>
      <c r="P68" s="28">
        <f t="shared" si="28"/>
        <v>0</v>
      </c>
      <c r="Q68" s="28">
        <v>40</v>
      </c>
      <c r="R68" s="58">
        <f t="shared" si="21"/>
        <v>0</v>
      </c>
      <c r="S68" s="58">
        <f t="shared" si="22"/>
        <v>-40</v>
      </c>
      <c r="T68" s="76">
        <f t="shared" si="29"/>
        <v>20400000</v>
      </c>
      <c r="U68" s="83">
        <f t="shared" si="30"/>
        <v>0</v>
      </c>
      <c r="W68" s="100">
        <f>C5/L68</f>
        <v>0</v>
      </c>
      <c r="X68" s="88">
        <f t="shared" si="31"/>
        <v>0</v>
      </c>
      <c r="Y68" s="58">
        <f t="shared" si="32"/>
        <v>0</v>
      </c>
    </row>
    <row r="69" spans="2:25">
      <c r="B69" s="51" t="s">
        <v>85</v>
      </c>
      <c r="C69" s="64"/>
      <c r="D69" s="132">
        <f>'LE CONSEILLER'!F62</f>
        <v>0</v>
      </c>
      <c r="E69" s="128">
        <f t="shared" si="19"/>
        <v>0</v>
      </c>
      <c r="F69" s="61" t="str">
        <f t="shared" si="23"/>
        <v>ACHETER</v>
      </c>
      <c r="G69" s="29">
        <f t="shared" si="24"/>
        <v>60</v>
      </c>
      <c r="H69" s="73" t="str">
        <f t="shared" si="25"/>
        <v/>
      </c>
      <c r="I69" s="88" t="str">
        <f t="shared" si="20"/>
        <v/>
      </c>
      <c r="J69" s="28">
        <f t="shared" si="26"/>
        <v>0</v>
      </c>
      <c r="K69" s="73"/>
      <c r="L69" s="96">
        <v>41000000</v>
      </c>
      <c r="M69" s="97">
        <v>33</v>
      </c>
      <c r="N69" s="97">
        <v>39</v>
      </c>
      <c r="O69" s="28">
        <f t="shared" si="27"/>
        <v>0</v>
      </c>
      <c r="P69" s="28">
        <f t="shared" si="28"/>
        <v>0</v>
      </c>
      <c r="Q69" s="28">
        <v>60</v>
      </c>
      <c r="R69" s="58">
        <f t="shared" si="21"/>
        <v>0</v>
      </c>
      <c r="S69" s="58">
        <f t="shared" si="22"/>
        <v>-60</v>
      </c>
      <c r="T69" s="76">
        <f t="shared" si="29"/>
        <v>24600000</v>
      </c>
      <c r="U69" s="83">
        <f t="shared" si="30"/>
        <v>0</v>
      </c>
      <c r="W69" s="100">
        <f>C5/L69</f>
        <v>0</v>
      </c>
      <c r="X69" s="88">
        <f t="shared" si="31"/>
        <v>0</v>
      </c>
      <c r="Y69" s="58">
        <f t="shared" si="32"/>
        <v>0</v>
      </c>
    </row>
    <row r="70" spans="2:25">
      <c r="B70" s="48" t="s">
        <v>86</v>
      </c>
      <c r="C70" s="63"/>
      <c r="D70" s="132">
        <f>'LE CONSEILLER'!F63</f>
        <v>0</v>
      </c>
      <c r="E70" s="128">
        <f t="shared" si="19"/>
        <v>0</v>
      </c>
      <c r="F70" s="61" t="str">
        <f t="shared" si="23"/>
        <v>ACHETER</v>
      </c>
      <c r="G70" s="29">
        <f t="shared" si="24"/>
        <v>40</v>
      </c>
      <c r="H70" s="73" t="str">
        <f t="shared" si="25"/>
        <v/>
      </c>
      <c r="I70" s="88" t="str">
        <f t="shared" si="20"/>
        <v/>
      </c>
      <c r="J70" s="28">
        <f t="shared" si="26"/>
        <v>0</v>
      </c>
      <c r="K70" s="73"/>
      <c r="L70" s="96">
        <v>53000000</v>
      </c>
      <c r="M70" s="97">
        <v>36</v>
      </c>
      <c r="N70" s="97">
        <v>43</v>
      </c>
      <c r="O70" s="28">
        <f>E70*M70</f>
        <v>0</v>
      </c>
      <c r="P70" s="28">
        <f t="shared" si="28"/>
        <v>0</v>
      </c>
      <c r="Q70" s="28">
        <v>40</v>
      </c>
      <c r="R70" s="58">
        <f t="shared" si="21"/>
        <v>0</v>
      </c>
      <c r="S70" s="58">
        <f t="shared" si="22"/>
        <v>-40</v>
      </c>
      <c r="T70" s="76">
        <f t="shared" si="29"/>
        <v>31800000</v>
      </c>
      <c r="U70" s="83">
        <f t="shared" si="30"/>
        <v>0</v>
      </c>
      <c r="W70" s="100">
        <f>C5/L70</f>
        <v>0</v>
      </c>
      <c r="X70" s="88">
        <f t="shared" si="31"/>
        <v>0</v>
      </c>
      <c r="Y70" s="58">
        <f t="shared" si="32"/>
        <v>0</v>
      </c>
    </row>
    <row r="71" spans="2:25">
      <c r="B71" s="48" t="s">
        <v>87</v>
      </c>
      <c r="C71" s="63">
        <v>77</v>
      </c>
      <c r="D71" s="132">
        <f>'LE CONSEILLER'!F64</f>
        <v>0</v>
      </c>
      <c r="E71" s="128">
        <f t="shared" si="19"/>
        <v>0</v>
      </c>
      <c r="F71" s="61" t="str">
        <f t="shared" si="23"/>
        <v>ACHETER</v>
      </c>
      <c r="G71" s="29">
        <f t="shared" si="24"/>
        <v>69</v>
      </c>
      <c r="H71" s="73" t="str">
        <f t="shared" si="25"/>
        <v/>
      </c>
      <c r="I71" s="88" t="str">
        <f t="shared" si="20"/>
        <v/>
      </c>
      <c r="J71" s="28">
        <f t="shared" si="26"/>
        <v>0</v>
      </c>
      <c r="K71" s="73"/>
      <c r="L71" s="96">
        <v>66000000</v>
      </c>
      <c r="M71" s="97">
        <v>42</v>
      </c>
      <c r="N71" s="97">
        <v>47</v>
      </c>
      <c r="O71" s="28">
        <f t="shared" si="27"/>
        <v>0</v>
      </c>
      <c r="P71" s="28">
        <f t="shared" si="28"/>
        <v>0</v>
      </c>
      <c r="Q71" s="28">
        <v>69</v>
      </c>
      <c r="R71" s="58">
        <f t="shared" si="21"/>
        <v>0</v>
      </c>
      <c r="S71" s="58">
        <f t="shared" si="22"/>
        <v>-69</v>
      </c>
      <c r="T71" s="76">
        <f t="shared" si="29"/>
        <v>39600000</v>
      </c>
      <c r="U71" s="83">
        <f t="shared" si="30"/>
        <v>0</v>
      </c>
      <c r="W71" s="100">
        <f>C5/L71</f>
        <v>0</v>
      </c>
      <c r="X71" s="88">
        <f t="shared" si="31"/>
        <v>0</v>
      </c>
      <c r="Y71" s="58">
        <f t="shared" si="32"/>
        <v>0</v>
      </c>
    </row>
    <row r="72" spans="2:25">
      <c r="B72" s="48" t="s">
        <v>88</v>
      </c>
      <c r="C72" s="63">
        <v>84</v>
      </c>
      <c r="D72" s="132">
        <f>'LE CONSEILLER'!F65</f>
        <v>0</v>
      </c>
      <c r="E72" s="128">
        <f t="shared" si="19"/>
        <v>0</v>
      </c>
      <c r="F72" s="61" t="str">
        <f t="shared" si="23"/>
        <v>ACHETER</v>
      </c>
      <c r="G72" s="29">
        <f t="shared" si="24"/>
        <v>90</v>
      </c>
      <c r="H72" s="73" t="str">
        <f t="shared" si="25"/>
        <v/>
      </c>
      <c r="I72" s="88" t="str">
        <f t="shared" si="20"/>
        <v/>
      </c>
      <c r="J72" s="28">
        <f t="shared" si="26"/>
        <v>0</v>
      </c>
      <c r="K72" s="73"/>
      <c r="L72" s="96">
        <v>80000000</v>
      </c>
      <c r="M72" s="97">
        <v>42</v>
      </c>
      <c r="N72" s="97">
        <v>56</v>
      </c>
      <c r="O72" s="28">
        <f t="shared" si="27"/>
        <v>0</v>
      </c>
      <c r="P72" s="28">
        <f t="shared" si="28"/>
        <v>0</v>
      </c>
      <c r="Q72" s="28">
        <v>90</v>
      </c>
      <c r="R72" s="58">
        <f t="shared" si="21"/>
        <v>0</v>
      </c>
      <c r="S72" s="58">
        <f t="shared" si="22"/>
        <v>-90</v>
      </c>
      <c r="T72" s="76">
        <f t="shared" si="29"/>
        <v>48000000</v>
      </c>
      <c r="U72" s="83">
        <f t="shared" si="30"/>
        <v>0</v>
      </c>
      <c r="W72" s="100">
        <f>C5/L72</f>
        <v>0</v>
      </c>
      <c r="X72" s="88">
        <f t="shared" si="31"/>
        <v>0</v>
      </c>
      <c r="Y72" s="58">
        <f t="shared" si="32"/>
        <v>0</v>
      </c>
    </row>
    <row r="73" spans="2:25">
      <c r="B73" s="48" t="s">
        <v>89</v>
      </c>
      <c r="C73" s="63"/>
      <c r="D73" s="132">
        <f>'LE CONSEILLER'!F66</f>
        <v>0</v>
      </c>
      <c r="E73" s="128">
        <f t="shared" si="19"/>
        <v>0</v>
      </c>
      <c r="F73" s="61" t="str">
        <f t="shared" si="23"/>
        <v>ACHETER</v>
      </c>
      <c r="G73" s="29">
        <f t="shared" si="24"/>
        <v>130</v>
      </c>
      <c r="H73" s="73" t="str">
        <f t="shared" si="25"/>
        <v/>
      </c>
      <c r="I73" s="88" t="str">
        <f t="shared" si="20"/>
        <v/>
      </c>
      <c r="J73" s="28">
        <f t="shared" si="26"/>
        <v>0</v>
      </c>
      <c r="K73" s="73"/>
      <c r="L73" s="96">
        <v>99000000</v>
      </c>
      <c r="M73" s="97">
        <v>48</v>
      </c>
      <c r="N73" s="97">
        <v>58</v>
      </c>
      <c r="O73" s="28">
        <f t="shared" si="27"/>
        <v>0</v>
      </c>
      <c r="P73" s="28">
        <f t="shared" si="28"/>
        <v>0</v>
      </c>
      <c r="Q73" s="28">
        <v>130</v>
      </c>
      <c r="R73" s="58">
        <f t="shared" si="21"/>
        <v>0</v>
      </c>
      <c r="S73" s="58">
        <f t="shared" si="22"/>
        <v>-130</v>
      </c>
      <c r="T73" s="76">
        <f t="shared" si="29"/>
        <v>59400000</v>
      </c>
      <c r="U73" s="83">
        <f t="shared" si="30"/>
        <v>0</v>
      </c>
      <c r="W73" s="100">
        <f>C5/L73</f>
        <v>0</v>
      </c>
      <c r="X73" s="88">
        <f t="shared" si="31"/>
        <v>0</v>
      </c>
      <c r="Y73" s="58">
        <f t="shared" si="32"/>
        <v>0</v>
      </c>
    </row>
    <row r="74" spans="2:25">
      <c r="B74" s="48" t="s">
        <v>90</v>
      </c>
      <c r="C74" s="63"/>
      <c r="D74" s="133">
        <f>'LE CONSEILLER'!F67</f>
        <v>0</v>
      </c>
      <c r="E74" s="128">
        <f t="shared" si="19"/>
        <v>0</v>
      </c>
      <c r="F74" s="62" t="str">
        <f t="shared" si="23"/>
        <v>ACHETER</v>
      </c>
      <c r="G74" s="32">
        <f t="shared" si="24"/>
        <v>165</v>
      </c>
      <c r="H74" s="73" t="str">
        <f t="shared" si="25"/>
        <v/>
      </c>
      <c r="I74" s="88" t="str">
        <f t="shared" si="20"/>
        <v/>
      </c>
      <c r="J74" s="34">
        <f t="shared" si="26"/>
        <v>0</v>
      </c>
      <c r="K74" s="73"/>
      <c r="L74" s="96">
        <v>120000000</v>
      </c>
      <c r="M74" s="97">
        <v>54</v>
      </c>
      <c r="N74" s="97">
        <v>61</v>
      </c>
      <c r="O74" s="28">
        <f t="shared" si="27"/>
        <v>0</v>
      </c>
      <c r="P74" s="28">
        <f t="shared" si="28"/>
        <v>0</v>
      </c>
      <c r="Q74" s="28">
        <v>165</v>
      </c>
      <c r="R74" s="58">
        <f t="shared" si="21"/>
        <v>0</v>
      </c>
      <c r="S74" s="58">
        <f t="shared" si="22"/>
        <v>-165</v>
      </c>
      <c r="T74" s="76">
        <f t="shared" si="29"/>
        <v>72000000</v>
      </c>
      <c r="U74" s="83">
        <f t="shared" si="30"/>
        <v>0</v>
      </c>
      <c r="W74" s="104">
        <f>C5/L74</f>
        <v>0</v>
      </c>
      <c r="X74" s="89">
        <f t="shared" si="31"/>
        <v>0</v>
      </c>
      <c r="Y74" s="58">
        <f t="shared" si="32"/>
        <v>0</v>
      </c>
    </row>
    <row r="75" spans="2:25">
      <c r="B75" s="66" t="s">
        <v>91</v>
      </c>
      <c r="C75" s="67"/>
      <c r="D75" s="131">
        <f>'LE CONSEILLER'!F68</f>
        <v>0</v>
      </c>
      <c r="E75" s="127">
        <f t="shared" si="19"/>
        <v>0</v>
      </c>
      <c r="F75" s="61"/>
      <c r="G75" s="61"/>
      <c r="H75" s="39" t="str">
        <f>IF(D75&gt;E75,"VENDRE","")</f>
        <v/>
      </c>
      <c r="I75" s="87" t="str">
        <f t="shared" si="20"/>
        <v/>
      </c>
      <c r="J75" s="28">
        <f>IF(S75&gt;0,S75,0)</f>
        <v>0</v>
      </c>
      <c r="K75" s="73"/>
      <c r="L75" s="68">
        <v>0</v>
      </c>
      <c r="M75" s="97">
        <v>100</v>
      </c>
      <c r="N75" s="97">
        <v>120</v>
      </c>
      <c r="O75" s="39">
        <f t="shared" si="27"/>
        <v>0</v>
      </c>
      <c r="P75" s="39">
        <f t="shared" si="28"/>
        <v>0</v>
      </c>
      <c r="Q75" s="39"/>
      <c r="R75" s="57">
        <f t="shared" si="21"/>
        <v>0</v>
      </c>
      <c r="S75" s="78">
        <f>D75-E75</f>
        <v>0</v>
      </c>
      <c r="T75" s="75">
        <v>7800</v>
      </c>
      <c r="U75" s="85">
        <f t="shared" si="30"/>
        <v>0</v>
      </c>
      <c r="Y75" s="57">
        <f t="shared" si="32"/>
        <v>0</v>
      </c>
    </row>
    <row r="76" spans="2:25">
      <c r="B76" s="48" t="s">
        <v>92</v>
      </c>
      <c r="C76" s="63"/>
      <c r="D76" s="132">
        <f>'LE CONSEILLER'!F69</f>
        <v>0</v>
      </c>
      <c r="E76" s="128">
        <f t="shared" si="19"/>
        <v>0</v>
      </c>
      <c r="F76" s="61"/>
      <c r="G76" s="61"/>
      <c r="H76" s="28" t="str">
        <f>IF(D76&gt;E76,"VENDRE","")</f>
        <v/>
      </c>
      <c r="I76" s="88" t="str">
        <f t="shared" si="20"/>
        <v/>
      </c>
      <c r="J76" s="28">
        <f>IF(S76&gt;0,S76,0)</f>
        <v>0</v>
      </c>
      <c r="K76" s="73"/>
      <c r="L76" s="52">
        <v>0</v>
      </c>
      <c r="M76" s="97">
        <v>480</v>
      </c>
      <c r="N76" s="97">
        <v>550</v>
      </c>
      <c r="O76" s="28">
        <f t="shared" si="27"/>
        <v>0</v>
      </c>
      <c r="P76" s="28">
        <f t="shared" si="28"/>
        <v>0</v>
      </c>
      <c r="Q76" s="28"/>
      <c r="R76" s="58">
        <f t="shared" si="21"/>
        <v>0</v>
      </c>
      <c r="S76" s="79">
        <f>D76-E76</f>
        <v>0</v>
      </c>
      <c r="T76" s="76">
        <v>3600000</v>
      </c>
      <c r="U76" s="83">
        <f t="shared" si="30"/>
        <v>0</v>
      </c>
      <c r="Y76" s="58">
        <f t="shared" si="32"/>
        <v>0</v>
      </c>
    </row>
    <row r="77" spans="2:25">
      <c r="B77" s="53" t="s">
        <v>93</v>
      </c>
      <c r="C77" s="65"/>
      <c r="D77" s="133">
        <f>'LE CONSEILLER'!F70</f>
        <v>0</v>
      </c>
      <c r="E77" s="129">
        <f t="shared" si="19"/>
        <v>0</v>
      </c>
      <c r="F77" s="62"/>
      <c r="G77" s="62"/>
      <c r="H77" s="34" t="str">
        <f>IF(D77&gt;E77,"VENDRE","")</f>
        <v/>
      </c>
      <c r="I77" s="89" t="str">
        <f t="shared" si="20"/>
        <v/>
      </c>
      <c r="J77" s="34">
        <f>IF(S77&gt;0,S77,0)</f>
        <v>0</v>
      </c>
      <c r="K77" s="90"/>
      <c r="L77" s="54">
        <v>0</v>
      </c>
      <c r="M77" s="98">
        <v>950</v>
      </c>
      <c r="N77" s="98">
        <v>1100</v>
      </c>
      <c r="O77" s="34">
        <f t="shared" si="27"/>
        <v>0</v>
      </c>
      <c r="P77" s="34">
        <f t="shared" si="28"/>
        <v>0</v>
      </c>
      <c r="Q77" s="34"/>
      <c r="R77" s="59">
        <f>C28</f>
        <v>0</v>
      </c>
      <c r="S77" s="80">
        <f>D77-E77</f>
        <v>0</v>
      </c>
      <c r="T77" s="77"/>
      <c r="U77" s="86">
        <f t="shared" si="30"/>
        <v>0</v>
      </c>
      <c r="Y77" s="59">
        <f t="shared" si="32"/>
        <v>0</v>
      </c>
    </row>
    <row r="79" spans="2:25">
      <c r="B79" s="20" t="s">
        <v>139</v>
      </c>
      <c r="C79" s="47" t="s">
        <v>58</v>
      </c>
      <c r="D79" s="130" t="s">
        <v>21</v>
      </c>
      <c r="E79" s="14" t="s">
        <v>56</v>
      </c>
      <c r="F79" s="161" t="s">
        <v>60</v>
      </c>
      <c r="G79" s="162"/>
      <c r="H79" s="163" t="s">
        <v>61</v>
      </c>
      <c r="I79" s="164"/>
      <c r="J79" s="165"/>
      <c r="K79" s="71"/>
      <c r="L79" s="46" t="s">
        <v>18</v>
      </c>
      <c r="M79" s="20" t="s">
        <v>19</v>
      </c>
      <c r="N79" s="47" t="s">
        <v>20</v>
      </c>
      <c r="O79" s="22" t="s">
        <v>67</v>
      </c>
      <c r="P79" s="22" t="s">
        <v>68</v>
      </c>
      <c r="Q79" s="22" t="s">
        <v>55</v>
      </c>
      <c r="R79" s="22" t="s">
        <v>57</v>
      </c>
      <c r="S79" s="22" t="s">
        <v>59</v>
      </c>
      <c r="T79" s="20" t="s">
        <v>62</v>
      </c>
      <c r="U79" s="84" t="s">
        <v>63</v>
      </c>
      <c r="V79" s="84" t="s">
        <v>64</v>
      </c>
      <c r="W79" s="84" t="s">
        <v>70</v>
      </c>
      <c r="X79" s="84" t="s">
        <v>71</v>
      </c>
      <c r="Y79" s="92" t="s">
        <v>21</v>
      </c>
    </row>
    <row r="80" spans="2:25">
      <c r="B80" s="48" t="s">
        <v>94</v>
      </c>
      <c r="C80" s="63"/>
      <c r="D80" s="131">
        <f>'LE CONSEILLER'!F74</f>
        <v>0</v>
      </c>
      <c r="E80" s="127">
        <f t="shared" ref="E80:E100" si="33">IF(D80&lt;=R80,D80,R80)</f>
        <v>0</v>
      </c>
      <c r="F80" s="60" t="str">
        <f>IF(D80&lt;Q80,"ACHETER",H80)</f>
        <v/>
      </c>
      <c r="G80" s="26" t="str">
        <f>IF(D80&lt;Q80,Q80-D80,I80)</f>
        <v/>
      </c>
      <c r="H80" s="72" t="str">
        <f>IF(S80&gt;0,"VENDRE","")</f>
        <v/>
      </c>
      <c r="I80" s="87" t="str">
        <f t="shared" ref="I80:I100" si="34">IF(S80&gt;0,S80,"")</f>
        <v/>
      </c>
      <c r="J80" s="39">
        <f>IF(S80&gt;0,S80,0)</f>
        <v>0</v>
      </c>
      <c r="K80" s="73"/>
      <c r="L80" s="96">
        <v>2900</v>
      </c>
      <c r="M80" s="97">
        <v>0</v>
      </c>
      <c r="N80" s="97">
        <v>1</v>
      </c>
      <c r="O80" s="39">
        <f>E80*M80</f>
        <v>0</v>
      </c>
      <c r="P80" s="39">
        <f>E80*N80</f>
        <v>0</v>
      </c>
      <c r="Q80" s="39">
        <v>0</v>
      </c>
      <c r="R80" s="57">
        <f t="shared" ref="R80:R99" si="35">R81-E81</f>
        <v>0</v>
      </c>
      <c r="S80" s="58">
        <f t="shared" ref="S80:S97" si="36">(D80-Q80)-E80</f>
        <v>0</v>
      </c>
      <c r="T80" s="75">
        <f>L80*60/100</f>
        <v>1740</v>
      </c>
      <c r="U80" s="85">
        <f>T80*J80</f>
        <v>0</v>
      </c>
      <c r="V80" s="84">
        <f>SUM(U80:U100)</f>
        <v>0</v>
      </c>
      <c r="W80" s="103">
        <f>C5/L80</f>
        <v>0</v>
      </c>
      <c r="X80" s="87">
        <f>ROUNDDOWN(W80,0)</f>
        <v>0</v>
      </c>
      <c r="Y80" s="57">
        <f>D80</f>
        <v>0</v>
      </c>
    </row>
    <row r="81" spans="2:25">
      <c r="B81" s="48" t="s">
        <v>95</v>
      </c>
      <c r="C81" s="63"/>
      <c r="D81" s="132">
        <f>'LE CONSEILLER'!F75</f>
        <v>0</v>
      </c>
      <c r="E81" s="128">
        <f t="shared" si="33"/>
        <v>0</v>
      </c>
      <c r="F81" s="61" t="str">
        <f t="shared" ref="F81:F97" si="37">IF(D81&lt;Q81,"ACHETER",H81)</f>
        <v>ACHETER</v>
      </c>
      <c r="G81" s="29">
        <f t="shared" ref="G81:G97" si="38">IF(D81&lt;Q81,Q81-D81,I81)</f>
        <v>1</v>
      </c>
      <c r="H81" s="73" t="str">
        <f t="shared" ref="H81:H97" si="39">IF(S81&gt;0,"VENDRE","")</f>
        <v/>
      </c>
      <c r="I81" s="88" t="str">
        <f t="shared" si="34"/>
        <v/>
      </c>
      <c r="J81" s="28">
        <f t="shared" ref="J81:J97" si="40">IF(S81&gt;0,S81,0)</f>
        <v>0</v>
      </c>
      <c r="K81" s="73"/>
      <c r="L81" s="96">
        <v>3500</v>
      </c>
      <c r="M81" s="97">
        <v>1</v>
      </c>
      <c r="N81" s="97">
        <v>1</v>
      </c>
      <c r="O81" s="28">
        <f t="shared" ref="O81:O100" si="41">E81*M81</f>
        <v>0</v>
      </c>
      <c r="P81" s="28">
        <f t="shared" ref="P81:P100" si="42">E81*N81</f>
        <v>0</v>
      </c>
      <c r="Q81" s="28">
        <v>1</v>
      </c>
      <c r="R81" s="58">
        <f t="shared" si="35"/>
        <v>0</v>
      </c>
      <c r="S81" s="58">
        <f t="shared" si="36"/>
        <v>-1</v>
      </c>
      <c r="T81" s="76">
        <f t="shared" ref="T81:T97" si="43">L81*60/100</f>
        <v>2100</v>
      </c>
      <c r="U81" s="83">
        <f t="shared" ref="U81:U100" si="44">T81*J81</f>
        <v>0</v>
      </c>
      <c r="V81" s="74"/>
      <c r="W81" s="100">
        <f>C5/L81</f>
        <v>0</v>
      </c>
      <c r="X81" s="88">
        <f t="shared" ref="X81:X97" si="45">ROUNDDOWN(W81,0)</f>
        <v>0</v>
      </c>
      <c r="Y81" s="58">
        <f t="shared" ref="Y81:Y100" si="46">D81</f>
        <v>0</v>
      </c>
    </row>
    <row r="82" spans="2:25">
      <c r="B82" s="48" t="s">
        <v>96</v>
      </c>
      <c r="C82" s="63"/>
      <c r="D82" s="132">
        <f>'LE CONSEILLER'!F76</f>
        <v>0</v>
      </c>
      <c r="E82" s="128">
        <f t="shared" si="33"/>
        <v>0</v>
      </c>
      <c r="F82" s="61" t="str">
        <f t="shared" si="37"/>
        <v/>
      </c>
      <c r="G82" s="29" t="str">
        <f t="shared" si="38"/>
        <v/>
      </c>
      <c r="H82" s="73" t="str">
        <f t="shared" si="39"/>
        <v/>
      </c>
      <c r="I82" s="88" t="str">
        <f t="shared" si="34"/>
        <v/>
      </c>
      <c r="J82" s="28">
        <f t="shared" si="40"/>
        <v>0</v>
      </c>
      <c r="K82" s="73"/>
      <c r="L82" s="96">
        <v>17000</v>
      </c>
      <c r="M82" s="97">
        <v>3</v>
      </c>
      <c r="N82" s="97">
        <v>2</v>
      </c>
      <c r="O82" s="28">
        <f t="shared" si="41"/>
        <v>0</v>
      </c>
      <c r="P82" s="28">
        <f t="shared" si="42"/>
        <v>0</v>
      </c>
      <c r="Q82" s="28">
        <v>0</v>
      </c>
      <c r="R82" s="58">
        <f t="shared" si="35"/>
        <v>0</v>
      </c>
      <c r="S82" s="58">
        <f t="shared" si="36"/>
        <v>0</v>
      </c>
      <c r="T82" s="76">
        <f t="shared" si="43"/>
        <v>10200</v>
      </c>
      <c r="U82" s="83">
        <f t="shared" si="44"/>
        <v>0</v>
      </c>
      <c r="W82" s="100">
        <f>C5/L82</f>
        <v>0</v>
      </c>
      <c r="X82" s="88">
        <f t="shared" si="45"/>
        <v>0</v>
      </c>
      <c r="Y82" s="58">
        <f t="shared" si="46"/>
        <v>0</v>
      </c>
    </row>
    <row r="83" spans="2:25">
      <c r="B83" s="48" t="s">
        <v>97</v>
      </c>
      <c r="C83" s="63"/>
      <c r="D83" s="132">
        <f>'LE CONSEILLER'!F77</f>
        <v>0</v>
      </c>
      <c r="E83" s="128">
        <f t="shared" si="33"/>
        <v>0</v>
      </c>
      <c r="F83" s="61" t="str">
        <f t="shared" si="37"/>
        <v>ACHETER</v>
      </c>
      <c r="G83" s="29">
        <f t="shared" si="38"/>
        <v>1</v>
      </c>
      <c r="H83" s="73" t="str">
        <f t="shared" si="39"/>
        <v/>
      </c>
      <c r="I83" s="88" t="str">
        <f t="shared" si="34"/>
        <v/>
      </c>
      <c r="J83" s="28">
        <f t="shared" si="40"/>
        <v>0</v>
      </c>
      <c r="K83" s="73"/>
      <c r="L83" s="96">
        <v>75000</v>
      </c>
      <c r="M83" s="97">
        <v>5</v>
      </c>
      <c r="N83" s="97">
        <v>5</v>
      </c>
      <c r="O83" s="28">
        <f t="shared" si="41"/>
        <v>0</v>
      </c>
      <c r="P83" s="28">
        <f t="shared" si="42"/>
        <v>0</v>
      </c>
      <c r="Q83" s="28">
        <v>1</v>
      </c>
      <c r="R83" s="58">
        <f t="shared" si="35"/>
        <v>0</v>
      </c>
      <c r="S83" s="58">
        <f t="shared" si="36"/>
        <v>-1</v>
      </c>
      <c r="T83" s="76">
        <f t="shared" si="43"/>
        <v>45000</v>
      </c>
      <c r="U83" s="83">
        <f t="shared" si="44"/>
        <v>0</v>
      </c>
      <c r="W83" s="100">
        <f>C5/L83</f>
        <v>0</v>
      </c>
      <c r="X83" s="88">
        <f t="shared" si="45"/>
        <v>0</v>
      </c>
      <c r="Y83" s="58">
        <f t="shared" si="46"/>
        <v>0</v>
      </c>
    </row>
    <row r="84" spans="2:25">
      <c r="B84" s="48" t="s">
        <v>98</v>
      </c>
      <c r="C84" s="63"/>
      <c r="D84" s="132">
        <f>'LE CONSEILLER'!F78</f>
        <v>0</v>
      </c>
      <c r="E84" s="128">
        <f t="shared" si="33"/>
        <v>0</v>
      </c>
      <c r="F84" s="61" t="str">
        <f t="shared" si="37"/>
        <v>ACHETER</v>
      </c>
      <c r="G84" s="29">
        <f t="shared" si="38"/>
        <v>2</v>
      </c>
      <c r="H84" s="73" t="str">
        <f t="shared" si="39"/>
        <v/>
      </c>
      <c r="I84" s="88" t="str">
        <f t="shared" si="34"/>
        <v/>
      </c>
      <c r="J84" s="28">
        <f t="shared" si="40"/>
        <v>0</v>
      </c>
      <c r="K84" s="73"/>
      <c r="L84" s="96">
        <v>150000</v>
      </c>
      <c r="M84" s="97">
        <v>4</v>
      </c>
      <c r="N84" s="97">
        <v>7</v>
      </c>
      <c r="O84" s="28">
        <f t="shared" si="41"/>
        <v>0</v>
      </c>
      <c r="P84" s="28">
        <f t="shared" si="42"/>
        <v>0</v>
      </c>
      <c r="Q84" s="28">
        <v>2</v>
      </c>
      <c r="R84" s="58">
        <f t="shared" si="35"/>
        <v>0</v>
      </c>
      <c r="S84" s="58">
        <f t="shared" si="36"/>
        <v>-2</v>
      </c>
      <c r="T84" s="76">
        <f t="shared" si="43"/>
        <v>90000</v>
      </c>
      <c r="U84" s="83">
        <f t="shared" si="44"/>
        <v>0</v>
      </c>
      <c r="W84" s="100">
        <f>C5/L84</f>
        <v>0</v>
      </c>
      <c r="X84" s="88">
        <f t="shared" si="45"/>
        <v>0</v>
      </c>
      <c r="Y84" s="58">
        <f t="shared" si="46"/>
        <v>0</v>
      </c>
    </row>
    <row r="85" spans="2:25">
      <c r="B85" s="48" t="s">
        <v>99</v>
      </c>
      <c r="C85" s="63"/>
      <c r="D85" s="132">
        <f>'LE CONSEILLER'!F79</f>
        <v>0</v>
      </c>
      <c r="E85" s="128">
        <f t="shared" si="33"/>
        <v>0</v>
      </c>
      <c r="F85" s="61" t="str">
        <f t="shared" si="37"/>
        <v>ACHETER</v>
      </c>
      <c r="G85" s="29">
        <f t="shared" si="38"/>
        <v>4</v>
      </c>
      <c r="H85" s="73" t="str">
        <f t="shared" si="39"/>
        <v/>
      </c>
      <c r="I85" s="88" t="str">
        <f t="shared" si="34"/>
        <v/>
      </c>
      <c r="J85" s="28">
        <f t="shared" si="40"/>
        <v>0</v>
      </c>
      <c r="K85" s="73"/>
      <c r="L85" s="96">
        <v>371000</v>
      </c>
      <c r="M85" s="97">
        <v>8</v>
      </c>
      <c r="N85" s="97">
        <v>7</v>
      </c>
      <c r="O85" s="28">
        <f t="shared" si="41"/>
        <v>0</v>
      </c>
      <c r="P85" s="28">
        <f t="shared" si="42"/>
        <v>0</v>
      </c>
      <c r="Q85" s="28">
        <v>4</v>
      </c>
      <c r="R85" s="58">
        <f t="shared" si="35"/>
        <v>0</v>
      </c>
      <c r="S85" s="58">
        <f t="shared" si="36"/>
        <v>-4</v>
      </c>
      <c r="T85" s="76">
        <f t="shared" si="43"/>
        <v>222600</v>
      </c>
      <c r="U85" s="83">
        <f t="shared" si="44"/>
        <v>0</v>
      </c>
      <c r="W85" s="100">
        <f>C5/L85</f>
        <v>0</v>
      </c>
      <c r="X85" s="88">
        <f t="shared" si="45"/>
        <v>0</v>
      </c>
      <c r="Y85" s="58">
        <f t="shared" si="46"/>
        <v>0</v>
      </c>
    </row>
    <row r="86" spans="2:25">
      <c r="B86" s="48" t="s">
        <v>100</v>
      </c>
      <c r="C86" s="63"/>
      <c r="D86" s="132">
        <f>'LE CONSEILLER'!F80</f>
        <v>0</v>
      </c>
      <c r="E86" s="128">
        <f t="shared" si="33"/>
        <v>0</v>
      </c>
      <c r="F86" s="61" t="str">
        <f t="shared" si="37"/>
        <v>ACHETER</v>
      </c>
      <c r="G86" s="29">
        <f t="shared" si="38"/>
        <v>9</v>
      </c>
      <c r="H86" s="73" t="str">
        <f t="shared" si="39"/>
        <v/>
      </c>
      <c r="I86" s="88" t="str">
        <f t="shared" si="34"/>
        <v/>
      </c>
      <c r="J86" s="28">
        <f t="shared" si="40"/>
        <v>0</v>
      </c>
      <c r="K86" s="73"/>
      <c r="L86" s="96">
        <v>1400000</v>
      </c>
      <c r="M86" s="97">
        <v>10</v>
      </c>
      <c r="N86" s="97">
        <v>11</v>
      </c>
      <c r="O86" s="28">
        <f t="shared" si="41"/>
        <v>0</v>
      </c>
      <c r="P86" s="28">
        <f t="shared" si="42"/>
        <v>0</v>
      </c>
      <c r="Q86" s="28">
        <v>9</v>
      </c>
      <c r="R86" s="58">
        <f t="shared" si="35"/>
        <v>0</v>
      </c>
      <c r="S86" s="58">
        <f t="shared" si="36"/>
        <v>-9</v>
      </c>
      <c r="T86" s="76">
        <f t="shared" si="43"/>
        <v>840000</v>
      </c>
      <c r="U86" s="83">
        <f t="shared" si="44"/>
        <v>0</v>
      </c>
      <c r="W86" s="100">
        <f>C5/L86</f>
        <v>0</v>
      </c>
      <c r="X86" s="88">
        <f t="shared" si="45"/>
        <v>0</v>
      </c>
      <c r="Y86" s="58">
        <f t="shared" si="46"/>
        <v>0</v>
      </c>
    </row>
    <row r="87" spans="2:25">
      <c r="B87" s="48" t="s">
        <v>101</v>
      </c>
      <c r="C87" s="63"/>
      <c r="D87" s="132">
        <f>'LE CONSEILLER'!F81</f>
        <v>0</v>
      </c>
      <c r="E87" s="128">
        <f t="shared" si="33"/>
        <v>0</v>
      </c>
      <c r="F87" s="61" t="str">
        <f t="shared" si="37"/>
        <v>ACHETER</v>
      </c>
      <c r="G87" s="29">
        <f t="shared" si="38"/>
        <v>8</v>
      </c>
      <c r="H87" s="73" t="str">
        <f t="shared" si="39"/>
        <v/>
      </c>
      <c r="I87" s="88" t="str">
        <f t="shared" si="34"/>
        <v/>
      </c>
      <c r="J87" s="28">
        <f t="shared" si="40"/>
        <v>0</v>
      </c>
      <c r="K87" s="73"/>
      <c r="L87" s="96">
        <v>3000000</v>
      </c>
      <c r="M87" s="97">
        <v>16</v>
      </c>
      <c r="N87" s="97">
        <v>12</v>
      </c>
      <c r="O87" s="28">
        <f t="shared" si="41"/>
        <v>0</v>
      </c>
      <c r="P87" s="28">
        <f t="shared" si="42"/>
        <v>0</v>
      </c>
      <c r="Q87" s="28">
        <v>8</v>
      </c>
      <c r="R87" s="58">
        <f t="shared" si="35"/>
        <v>0</v>
      </c>
      <c r="S87" s="58">
        <f t="shared" si="36"/>
        <v>-8</v>
      </c>
      <c r="T87" s="76">
        <f t="shared" si="43"/>
        <v>1800000</v>
      </c>
      <c r="U87" s="83">
        <f t="shared" si="44"/>
        <v>0</v>
      </c>
      <c r="W87" s="100">
        <f>C5/L87</f>
        <v>0</v>
      </c>
      <c r="X87" s="88">
        <f t="shared" si="45"/>
        <v>0</v>
      </c>
      <c r="Y87" s="58">
        <f t="shared" si="46"/>
        <v>0</v>
      </c>
    </row>
    <row r="88" spans="2:25">
      <c r="B88" s="48" t="s">
        <v>102</v>
      </c>
      <c r="C88" s="63"/>
      <c r="D88" s="132">
        <f>'LE CONSEILLER'!F82</f>
        <v>0</v>
      </c>
      <c r="E88" s="128">
        <f t="shared" si="33"/>
        <v>0</v>
      </c>
      <c r="F88" s="61" t="str">
        <f t="shared" si="37"/>
        <v>ACHETER</v>
      </c>
      <c r="G88" s="29">
        <f t="shared" si="38"/>
        <v>21</v>
      </c>
      <c r="H88" s="73" t="str">
        <f t="shared" si="39"/>
        <v/>
      </c>
      <c r="I88" s="88" t="str">
        <f t="shared" si="34"/>
        <v/>
      </c>
      <c r="J88" s="28">
        <f t="shared" si="40"/>
        <v>0</v>
      </c>
      <c r="K88" s="73"/>
      <c r="L88" s="96">
        <v>6300000</v>
      </c>
      <c r="M88" s="97">
        <v>17</v>
      </c>
      <c r="N88" s="97">
        <v>17</v>
      </c>
      <c r="O88" s="28">
        <f t="shared" si="41"/>
        <v>0</v>
      </c>
      <c r="P88" s="28">
        <f t="shared" si="42"/>
        <v>0</v>
      </c>
      <c r="Q88" s="28">
        <v>21</v>
      </c>
      <c r="R88" s="58">
        <f t="shared" si="35"/>
        <v>0</v>
      </c>
      <c r="S88" s="58">
        <f t="shared" si="36"/>
        <v>-21</v>
      </c>
      <c r="T88" s="76">
        <f t="shared" si="43"/>
        <v>3780000</v>
      </c>
      <c r="U88" s="83">
        <f t="shared" si="44"/>
        <v>0</v>
      </c>
      <c r="W88" s="100">
        <f>C5/L88</f>
        <v>0</v>
      </c>
      <c r="X88" s="88">
        <f t="shared" si="45"/>
        <v>0</v>
      </c>
      <c r="Y88" s="58">
        <f t="shared" si="46"/>
        <v>0</v>
      </c>
    </row>
    <row r="89" spans="2:25">
      <c r="B89" s="48" t="s">
        <v>103</v>
      </c>
      <c r="C89" s="63"/>
      <c r="D89" s="132">
        <f>'LE CONSEILLER'!F83</f>
        <v>0</v>
      </c>
      <c r="E89" s="128">
        <f t="shared" si="33"/>
        <v>0</v>
      </c>
      <c r="F89" s="61" t="str">
        <f t="shared" si="37"/>
        <v>ACHETER</v>
      </c>
      <c r="G89" s="29">
        <f t="shared" si="38"/>
        <v>26</v>
      </c>
      <c r="H89" s="73" t="str">
        <f t="shared" si="39"/>
        <v/>
      </c>
      <c r="I89" s="88" t="str">
        <f t="shared" si="34"/>
        <v/>
      </c>
      <c r="J89" s="28">
        <f t="shared" si="40"/>
        <v>0</v>
      </c>
      <c r="K89" s="73"/>
      <c r="L89" s="96">
        <v>10600000</v>
      </c>
      <c r="M89" s="97">
        <v>18</v>
      </c>
      <c r="N89" s="97">
        <v>22</v>
      </c>
      <c r="O89" s="28">
        <f t="shared" si="41"/>
        <v>0</v>
      </c>
      <c r="P89" s="28">
        <f t="shared" si="42"/>
        <v>0</v>
      </c>
      <c r="Q89" s="28">
        <v>26</v>
      </c>
      <c r="R89" s="58">
        <f t="shared" si="35"/>
        <v>0</v>
      </c>
      <c r="S89" s="58">
        <f t="shared" si="36"/>
        <v>-26</v>
      </c>
      <c r="T89" s="76">
        <f t="shared" si="43"/>
        <v>6360000</v>
      </c>
      <c r="U89" s="83">
        <f t="shared" si="44"/>
        <v>0</v>
      </c>
      <c r="W89" s="100">
        <f>C5/L89</f>
        <v>0</v>
      </c>
      <c r="X89" s="88">
        <f t="shared" si="45"/>
        <v>0</v>
      </c>
      <c r="Y89" s="58">
        <f t="shared" si="46"/>
        <v>0</v>
      </c>
    </row>
    <row r="90" spans="2:25">
      <c r="B90" s="51" t="s">
        <v>104</v>
      </c>
      <c r="C90" s="64"/>
      <c r="D90" s="132">
        <f>'LE CONSEILLER'!F84</f>
        <v>0</v>
      </c>
      <c r="E90" s="128">
        <f t="shared" si="33"/>
        <v>0</v>
      </c>
      <c r="F90" s="61" t="str">
        <f t="shared" si="37"/>
        <v>ACHETER</v>
      </c>
      <c r="G90" s="29">
        <f t="shared" si="38"/>
        <v>39</v>
      </c>
      <c r="H90" s="73" t="str">
        <f t="shared" si="39"/>
        <v/>
      </c>
      <c r="I90" s="88" t="str">
        <f t="shared" si="34"/>
        <v/>
      </c>
      <c r="J90" s="28">
        <f t="shared" si="40"/>
        <v>0</v>
      </c>
      <c r="K90" s="73"/>
      <c r="L90" s="96">
        <v>19800000</v>
      </c>
      <c r="M90" s="97">
        <v>23</v>
      </c>
      <c r="N90" s="97">
        <v>25</v>
      </c>
      <c r="O90" s="28">
        <f t="shared" si="41"/>
        <v>0</v>
      </c>
      <c r="P90" s="28">
        <f t="shared" si="42"/>
        <v>0</v>
      </c>
      <c r="Q90" s="28">
        <v>39</v>
      </c>
      <c r="R90" s="58">
        <f t="shared" si="35"/>
        <v>0</v>
      </c>
      <c r="S90" s="58">
        <f t="shared" si="36"/>
        <v>-39</v>
      </c>
      <c r="T90" s="76">
        <f t="shared" si="43"/>
        <v>11880000</v>
      </c>
      <c r="U90" s="83">
        <f t="shared" si="44"/>
        <v>0</v>
      </c>
      <c r="W90" s="100">
        <f>C5/L90</f>
        <v>0</v>
      </c>
      <c r="X90" s="88">
        <f t="shared" si="45"/>
        <v>0</v>
      </c>
      <c r="Y90" s="58">
        <f t="shared" si="46"/>
        <v>0</v>
      </c>
    </row>
    <row r="91" spans="2:25">
      <c r="B91" s="48" t="s">
        <v>105</v>
      </c>
      <c r="C91" s="63"/>
      <c r="D91" s="132">
        <f>'LE CONSEILLER'!F85</f>
        <v>0</v>
      </c>
      <c r="E91" s="128">
        <f t="shared" si="33"/>
        <v>0</v>
      </c>
      <c r="F91" s="61" t="str">
        <f t="shared" si="37"/>
        <v>ACHETER</v>
      </c>
      <c r="G91" s="29">
        <f t="shared" si="38"/>
        <v>46</v>
      </c>
      <c r="H91" s="73" t="str">
        <f t="shared" si="39"/>
        <v/>
      </c>
      <c r="I91" s="88" t="str">
        <f t="shared" si="34"/>
        <v/>
      </c>
      <c r="J91" s="28">
        <f t="shared" si="40"/>
        <v>0</v>
      </c>
      <c r="K91" s="73"/>
      <c r="L91" s="96">
        <v>30000000</v>
      </c>
      <c r="M91" s="97">
        <v>30</v>
      </c>
      <c r="N91" s="97">
        <v>26</v>
      </c>
      <c r="O91" s="28">
        <f t="shared" si="41"/>
        <v>0</v>
      </c>
      <c r="P91" s="28">
        <f t="shared" si="42"/>
        <v>0</v>
      </c>
      <c r="Q91" s="28">
        <v>46</v>
      </c>
      <c r="R91" s="58">
        <f t="shared" si="35"/>
        <v>0</v>
      </c>
      <c r="S91" s="58">
        <f t="shared" si="36"/>
        <v>-46</v>
      </c>
      <c r="T91" s="76">
        <f t="shared" si="43"/>
        <v>18000000</v>
      </c>
      <c r="U91" s="83">
        <f t="shared" si="44"/>
        <v>0</v>
      </c>
      <c r="W91" s="100">
        <f>C5/L91</f>
        <v>0</v>
      </c>
      <c r="X91" s="88">
        <f t="shared" si="45"/>
        <v>0</v>
      </c>
      <c r="Y91" s="58">
        <f t="shared" si="46"/>
        <v>0</v>
      </c>
    </row>
    <row r="92" spans="2:25">
      <c r="B92" s="51" t="s">
        <v>106</v>
      </c>
      <c r="C92" s="64"/>
      <c r="D92" s="132">
        <f>'LE CONSEILLER'!F86</f>
        <v>0</v>
      </c>
      <c r="E92" s="128">
        <f t="shared" si="33"/>
        <v>0</v>
      </c>
      <c r="F92" s="61" t="str">
        <f t="shared" si="37"/>
        <v>ACHETER</v>
      </c>
      <c r="G92" s="29">
        <f t="shared" si="38"/>
        <v>41</v>
      </c>
      <c r="H92" s="73" t="str">
        <f t="shared" si="39"/>
        <v/>
      </c>
      <c r="I92" s="88" t="str">
        <f t="shared" si="34"/>
        <v/>
      </c>
      <c r="J92" s="28">
        <f t="shared" si="40"/>
        <v>0</v>
      </c>
      <c r="K92" s="73"/>
      <c r="L92" s="96">
        <v>35000000</v>
      </c>
      <c r="M92" s="97">
        <v>32</v>
      </c>
      <c r="N92" s="97">
        <v>32</v>
      </c>
      <c r="O92" s="28">
        <f t="shared" si="41"/>
        <v>0</v>
      </c>
      <c r="P92" s="28">
        <f t="shared" si="42"/>
        <v>0</v>
      </c>
      <c r="Q92" s="28">
        <v>41</v>
      </c>
      <c r="R92" s="58">
        <f t="shared" si="35"/>
        <v>0</v>
      </c>
      <c r="S92" s="58">
        <f t="shared" si="36"/>
        <v>-41</v>
      </c>
      <c r="T92" s="76">
        <f t="shared" si="43"/>
        <v>21000000</v>
      </c>
      <c r="U92" s="83">
        <f t="shared" si="44"/>
        <v>0</v>
      </c>
      <c r="W92" s="100">
        <f>C5/L92</f>
        <v>0</v>
      </c>
      <c r="X92" s="88">
        <f t="shared" si="45"/>
        <v>0</v>
      </c>
      <c r="Y92" s="58">
        <f t="shared" si="46"/>
        <v>0</v>
      </c>
    </row>
    <row r="93" spans="2:25">
      <c r="B93" s="48" t="s">
        <v>107</v>
      </c>
      <c r="C93" s="63"/>
      <c r="D93" s="132">
        <f>'LE CONSEILLER'!F87</f>
        <v>0</v>
      </c>
      <c r="E93" s="128">
        <f t="shared" si="33"/>
        <v>0</v>
      </c>
      <c r="F93" s="61" t="str">
        <f t="shared" si="37"/>
        <v>ACHETER</v>
      </c>
      <c r="G93" s="29">
        <f t="shared" si="38"/>
        <v>64</v>
      </c>
      <c r="H93" s="73" t="str">
        <f t="shared" si="39"/>
        <v/>
      </c>
      <c r="I93" s="88" t="str">
        <f t="shared" si="34"/>
        <v/>
      </c>
      <c r="J93" s="28">
        <f t="shared" si="40"/>
        <v>0</v>
      </c>
      <c r="K93" s="73"/>
      <c r="L93" s="96">
        <v>45000000</v>
      </c>
      <c r="M93" s="97">
        <v>34</v>
      </c>
      <c r="N93" s="97">
        <v>40</v>
      </c>
      <c r="O93" s="28">
        <f t="shared" si="41"/>
        <v>0</v>
      </c>
      <c r="P93" s="28">
        <f t="shared" si="42"/>
        <v>0</v>
      </c>
      <c r="Q93" s="28">
        <v>64</v>
      </c>
      <c r="R93" s="58">
        <f t="shared" si="35"/>
        <v>0</v>
      </c>
      <c r="S93" s="58">
        <f t="shared" si="36"/>
        <v>-64</v>
      </c>
      <c r="T93" s="76">
        <f t="shared" si="43"/>
        <v>27000000</v>
      </c>
      <c r="U93" s="83">
        <f t="shared" si="44"/>
        <v>0</v>
      </c>
      <c r="W93" s="100">
        <f>C5/L93</f>
        <v>0</v>
      </c>
      <c r="X93" s="88">
        <f t="shared" si="45"/>
        <v>0</v>
      </c>
      <c r="Y93" s="58">
        <f t="shared" si="46"/>
        <v>0</v>
      </c>
    </row>
    <row r="94" spans="2:25">
      <c r="B94" s="48" t="s">
        <v>108</v>
      </c>
      <c r="C94" s="63">
        <v>76</v>
      </c>
      <c r="D94" s="132">
        <f>'LE CONSEILLER'!F88</f>
        <v>0</v>
      </c>
      <c r="E94" s="128">
        <f t="shared" si="33"/>
        <v>0</v>
      </c>
      <c r="F94" s="61" t="str">
        <f t="shared" si="37"/>
        <v>ACHETER</v>
      </c>
      <c r="G94" s="29">
        <f t="shared" si="38"/>
        <v>73</v>
      </c>
      <c r="H94" s="73" t="str">
        <f t="shared" si="39"/>
        <v/>
      </c>
      <c r="I94" s="88" t="str">
        <f t="shared" si="34"/>
        <v/>
      </c>
      <c r="J94" s="28">
        <f t="shared" si="40"/>
        <v>0</v>
      </c>
      <c r="K94" s="73"/>
      <c r="L94" s="96">
        <v>57000000</v>
      </c>
      <c r="M94" s="97">
        <v>44</v>
      </c>
      <c r="N94" s="97">
        <v>40</v>
      </c>
      <c r="O94" s="28">
        <f t="shared" si="41"/>
        <v>0</v>
      </c>
      <c r="P94" s="28">
        <f t="shared" si="42"/>
        <v>0</v>
      </c>
      <c r="Q94" s="28">
        <v>73</v>
      </c>
      <c r="R94" s="58">
        <f t="shared" si="35"/>
        <v>0</v>
      </c>
      <c r="S94" s="58">
        <f t="shared" si="36"/>
        <v>-73</v>
      </c>
      <c r="T94" s="76">
        <f t="shared" si="43"/>
        <v>34200000</v>
      </c>
      <c r="U94" s="83">
        <f t="shared" si="44"/>
        <v>0</v>
      </c>
      <c r="W94" s="100">
        <f>C5/L94</f>
        <v>0</v>
      </c>
      <c r="X94" s="88">
        <f t="shared" si="45"/>
        <v>0</v>
      </c>
      <c r="Y94" s="58">
        <f t="shared" si="46"/>
        <v>0</v>
      </c>
    </row>
    <row r="95" spans="2:25">
      <c r="B95" s="48" t="s">
        <v>109</v>
      </c>
      <c r="C95" s="63">
        <v>84</v>
      </c>
      <c r="D95" s="132">
        <f>'LE CONSEILLER'!F89</f>
        <v>0</v>
      </c>
      <c r="E95" s="128">
        <f t="shared" si="33"/>
        <v>0</v>
      </c>
      <c r="F95" s="61" t="str">
        <f t="shared" si="37"/>
        <v>ACHETER</v>
      </c>
      <c r="G95" s="29">
        <f t="shared" si="38"/>
        <v>70</v>
      </c>
      <c r="H95" s="73" t="str">
        <f t="shared" si="39"/>
        <v/>
      </c>
      <c r="I95" s="88" t="str">
        <f t="shared" si="34"/>
        <v/>
      </c>
      <c r="J95" s="28">
        <f t="shared" si="40"/>
        <v>0</v>
      </c>
      <c r="K95" s="73"/>
      <c r="L95" s="96">
        <v>70000000</v>
      </c>
      <c r="M95" s="97">
        <v>46</v>
      </c>
      <c r="N95" s="97">
        <v>46</v>
      </c>
      <c r="O95" s="28">
        <f t="shared" si="41"/>
        <v>0</v>
      </c>
      <c r="P95" s="28">
        <f t="shared" si="42"/>
        <v>0</v>
      </c>
      <c r="Q95" s="28">
        <v>70</v>
      </c>
      <c r="R95" s="58">
        <f t="shared" si="35"/>
        <v>0</v>
      </c>
      <c r="S95" s="58">
        <f t="shared" si="36"/>
        <v>-70</v>
      </c>
      <c r="T95" s="76">
        <f t="shared" si="43"/>
        <v>42000000</v>
      </c>
      <c r="U95" s="83">
        <f t="shared" si="44"/>
        <v>0</v>
      </c>
      <c r="W95" s="100">
        <f>C5/L95</f>
        <v>0</v>
      </c>
      <c r="X95" s="88">
        <f t="shared" si="45"/>
        <v>0</v>
      </c>
      <c r="Y95" s="58">
        <f t="shared" si="46"/>
        <v>0</v>
      </c>
    </row>
    <row r="96" spans="2:25">
      <c r="B96" s="48" t="s">
        <v>110</v>
      </c>
      <c r="C96" s="63"/>
      <c r="D96" s="132">
        <f>'LE CONSEILLER'!F90</f>
        <v>0</v>
      </c>
      <c r="E96" s="128">
        <f t="shared" si="33"/>
        <v>0</v>
      </c>
      <c r="F96" s="61" t="str">
        <f t="shared" si="37"/>
        <v>ACHETER</v>
      </c>
      <c r="G96" s="29">
        <f t="shared" si="38"/>
        <v>100</v>
      </c>
      <c r="H96" s="73" t="str">
        <f t="shared" si="39"/>
        <v/>
      </c>
      <c r="I96" s="88" t="str">
        <f t="shared" si="34"/>
        <v/>
      </c>
      <c r="J96" s="28">
        <f t="shared" si="40"/>
        <v>0</v>
      </c>
      <c r="K96" s="73"/>
      <c r="L96" s="96">
        <v>88000000</v>
      </c>
      <c r="M96" s="97">
        <v>47</v>
      </c>
      <c r="N96" s="97">
        <v>53</v>
      </c>
      <c r="O96" s="28">
        <f t="shared" si="41"/>
        <v>0</v>
      </c>
      <c r="P96" s="28">
        <f t="shared" si="42"/>
        <v>0</v>
      </c>
      <c r="Q96" s="28">
        <v>100</v>
      </c>
      <c r="R96" s="58">
        <f t="shared" si="35"/>
        <v>0</v>
      </c>
      <c r="S96" s="58">
        <f t="shared" si="36"/>
        <v>-100</v>
      </c>
      <c r="T96" s="76">
        <f t="shared" si="43"/>
        <v>52800000</v>
      </c>
      <c r="U96" s="83">
        <f t="shared" si="44"/>
        <v>0</v>
      </c>
      <c r="W96" s="100">
        <f>C5/L96</f>
        <v>0</v>
      </c>
      <c r="X96" s="88">
        <f t="shared" si="45"/>
        <v>0</v>
      </c>
      <c r="Y96" s="58">
        <f t="shared" si="46"/>
        <v>0</v>
      </c>
    </row>
    <row r="97" spans="2:25">
      <c r="B97" s="48" t="s">
        <v>111</v>
      </c>
      <c r="C97" s="63"/>
      <c r="D97" s="133">
        <f>'LE CONSEILLER'!F91</f>
        <v>0</v>
      </c>
      <c r="E97" s="128">
        <f t="shared" si="33"/>
        <v>0</v>
      </c>
      <c r="F97" s="62" t="str">
        <f t="shared" si="37"/>
        <v>ACHETER</v>
      </c>
      <c r="G97" s="32">
        <f t="shared" si="38"/>
        <v>170</v>
      </c>
      <c r="H97" s="73" t="str">
        <f t="shared" si="39"/>
        <v/>
      </c>
      <c r="I97" s="88" t="str">
        <f t="shared" si="34"/>
        <v/>
      </c>
      <c r="J97" s="34">
        <f t="shared" si="40"/>
        <v>0</v>
      </c>
      <c r="K97" s="73"/>
      <c r="L97" s="96">
        <v>107000000</v>
      </c>
      <c r="M97" s="97">
        <v>56</v>
      </c>
      <c r="N97" s="97">
        <v>53</v>
      </c>
      <c r="O97" s="28">
        <f t="shared" si="41"/>
        <v>0</v>
      </c>
      <c r="P97" s="28">
        <f t="shared" si="42"/>
        <v>0</v>
      </c>
      <c r="Q97" s="28">
        <v>170</v>
      </c>
      <c r="R97" s="58">
        <f t="shared" si="35"/>
        <v>0</v>
      </c>
      <c r="S97" s="58">
        <f t="shared" si="36"/>
        <v>-170</v>
      </c>
      <c r="T97" s="76">
        <f t="shared" si="43"/>
        <v>64200000</v>
      </c>
      <c r="U97" s="83">
        <f t="shared" si="44"/>
        <v>0</v>
      </c>
      <c r="W97" s="104">
        <f>C5/L97</f>
        <v>0</v>
      </c>
      <c r="X97" s="89">
        <f t="shared" si="45"/>
        <v>0</v>
      </c>
      <c r="Y97" s="58">
        <f t="shared" si="46"/>
        <v>0</v>
      </c>
    </row>
    <row r="98" spans="2:25">
      <c r="B98" s="66" t="s">
        <v>112</v>
      </c>
      <c r="C98" s="67"/>
      <c r="D98" s="131">
        <f>'LE CONSEILLER'!F92</f>
        <v>0</v>
      </c>
      <c r="E98" s="127">
        <f t="shared" si="33"/>
        <v>0</v>
      </c>
      <c r="F98" s="61"/>
      <c r="G98" s="61"/>
      <c r="H98" s="39" t="str">
        <f>IF(D98&gt;E98,"VENDRE","")</f>
        <v/>
      </c>
      <c r="I98" s="87" t="str">
        <f t="shared" si="34"/>
        <v/>
      </c>
      <c r="J98" s="28">
        <f>IF(S98&gt;0,S98,0)</f>
        <v>0</v>
      </c>
      <c r="K98" s="73"/>
      <c r="L98" s="68">
        <v>0</v>
      </c>
      <c r="M98" s="97">
        <v>220</v>
      </c>
      <c r="N98" s="97">
        <v>220</v>
      </c>
      <c r="O98" s="39">
        <f t="shared" si="41"/>
        <v>0</v>
      </c>
      <c r="P98" s="39">
        <f t="shared" si="42"/>
        <v>0</v>
      </c>
      <c r="Q98" s="39"/>
      <c r="R98" s="57">
        <f t="shared" si="35"/>
        <v>0</v>
      </c>
      <c r="S98" s="78">
        <f>D98-E98</f>
        <v>0</v>
      </c>
      <c r="T98" s="75">
        <v>7800</v>
      </c>
      <c r="U98" s="85">
        <f t="shared" si="44"/>
        <v>0</v>
      </c>
      <c r="Y98" s="57">
        <f t="shared" si="46"/>
        <v>0</v>
      </c>
    </row>
    <row r="99" spans="2:25">
      <c r="B99" s="48" t="s">
        <v>113</v>
      </c>
      <c r="C99" s="63"/>
      <c r="D99" s="132">
        <f>'LE CONSEILLER'!F93</f>
        <v>0</v>
      </c>
      <c r="E99" s="128">
        <f t="shared" si="33"/>
        <v>0</v>
      </c>
      <c r="F99" s="61"/>
      <c r="G99" s="61"/>
      <c r="H99" s="28" t="str">
        <f>IF(D99&gt;E99,"VENDRE","")</f>
        <v/>
      </c>
      <c r="I99" s="88" t="str">
        <f t="shared" si="34"/>
        <v/>
      </c>
      <c r="J99" s="28">
        <f>IF(S99&gt;0,S99,0)</f>
        <v>0</v>
      </c>
      <c r="K99" s="73"/>
      <c r="L99" s="52">
        <v>0</v>
      </c>
      <c r="M99" s="97">
        <v>700</v>
      </c>
      <c r="N99" s="97">
        <v>650</v>
      </c>
      <c r="O99" s="28">
        <f t="shared" si="41"/>
        <v>0</v>
      </c>
      <c r="P99" s="28">
        <f t="shared" si="42"/>
        <v>0</v>
      </c>
      <c r="Q99" s="28"/>
      <c r="R99" s="58">
        <f t="shared" si="35"/>
        <v>0</v>
      </c>
      <c r="S99" s="79">
        <f>D99-E99</f>
        <v>0</v>
      </c>
      <c r="T99" s="76">
        <v>3600000</v>
      </c>
      <c r="U99" s="83">
        <f t="shared" si="44"/>
        <v>0</v>
      </c>
      <c r="Y99" s="58">
        <f t="shared" si="46"/>
        <v>0</v>
      </c>
    </row>
    <row r="100" spans="2:25">
      <c r="B100" s="53" t="s">
        <v>114</v>
      </c>
      <c r="C100" s="65"/>
      <c r="D100" s="133">
        <f>'LE CONSEILLER'!F94</f>
        <v>0</v>
      </c>
      <c r="E100" s="129">
        <f t="shared" si="33"/>
        <v>0</v>
      </c>
      <c r="F100" s="62"/>
      <c r="G100" s="62"/>
      <c r="H100" s="34" t="str">
        <f>IF(D100&gt;E100,"VENDRE","")</f>
        <v/>
      </c>
      <c r="I100" s="89" t="str">
        <f t="shared" si="34"/>
        <v/>
      </c>
      <c r="J100" s="34">
        <f>IF(S100&gt;0,S100,0)</f>
        <v>0</v>
      </c>
      <c r="K100" s="90"/>
      <c r="L100" s="54">
        <v>0</v>
      </c>
      <c r="M100" s="98">
        <v>3000</v>
      </c>
      <c r="N100" s="98">
        <v>3000</v>
      </c>
      <c r="O100" s="34">
        <f t="shared" si="41"/>
        <v>0</v>
      </c>
      <c r="P100" s="34">
        <f t="shared" si="42"/>
        <v>0</v>
      </c>
      <c r="Q100" s="34"/>
      <c r="R100" s="59">
        <f>C28</f>
        <v>0</v>
      </c>
      <c r="S100" s="80">
        <f>D100-E100</f>
        <v>0</v>
      </c>
      <c r="T100" s="77"/>
      <c r="U100" s="86">
        <f t="shared" si="44"/>
        <v>0</v>
      </c>
      <c r="Y100" s="59">
        <f t="shared" si="46"/>
        <v>0</v>
      </c>
    </row>
    <row r="102" spans="2:25">
      <c r="B102" s="20" t="s">
        <v>119</v>
      </c>
      <c r="C102" s="20" t="s">
        <v>19</v>
      </c>
      <c r="D102" s="47" t="s">
        <v>20</v>
      </c>
      <c r="E102" s="5" t="s">
        <v>21</v>
      </c>
      <c r="H102" s="22" t="s">
        <v>120</v>
      </c>
      <c r="I102" s="22" t="s">
        <v>121</v>
      </c>
    </row>
    <row r="103" spans="2:25">
      <c r="B103" s="99" t="s">
        <v>115</v>
      </c>
      <c r="C103" s="97">
        <v>1</v>
      </c>
      <c r="D103" s="97">
        <v>31</v>
      </c>
      <c r="E103" s="36">
        <f>'LE CONSEILLER'!N26</f>
        <v>0</v>
      </c>
      <c r="H103" s="28">
        <f>C103*E103</f>
        <v>0</v>
      </c>
      <c r="I103" s="28">
        <f>E103*D103</f>
        <v>0</v>
      </c>
    </row>
    <row r="104" spans="2:25">
      <c r="B104" s="94" t="s">
        <v>116</v>
      </c>
      <c r="C104" s="97">
        <v>12</v>
      </c>
      <c r="D104" s="97">
        <v>14</v>
      </c>
      <c r="E104" s="25">
        <f>'LE CONSEILLER'!N27</f>
        <v>0</v>
      </c>
      <c r="H104" s="28">
        <f t="shared" ref="H104:H106" si="47">C104*E104</f>
        <v>0</v>
      </c>
      <c r="I104" s="28">
        <f t="shared" ref="I104:I106" si="48">E104*D104</f>
        <v>0</v>
      </c>
    </row>
    <row r="105" spans="2:25">
      <c r="B105" s="94" t="s">
        <v>117</v>
      </c>
      <c r="C105" s="97">
        <v>19</v>
      </c>
      <c r="D105" s="97">
        <v>23</v>
      </c>
      <c r="E105" s="25">
        <f>'LE CONSEILLER'!N28</f>
        <v>0</v>
      </c>
      <c r="H105" s="28">
        <f t="shared" si="47"/>
        <v>0</v>
      </c>
      <c r="I105" s="28">
        <f t="shared" si="48"/>
        <v>0</v>
      </c>
    </row>
    <row r="106" spans="2:25">
      <c r="B106" s="95" t="s">
        <v>118</v>
      </c>
      <c r="C106" s="98">
        <v>42</v>
      </c>
      <c r="D106" s="98">
        <v>36</v>
      </c>
      <c r="E106" s="31">
        <f>'LE CONSEILLER'!N29</f>
        <v>0</v>
      </c>
      <c r="H106" s="34">
        <f t="shared" si="47"/>
        <v>0</v>
      </c>
      <c r="I106" s="34">
        <f t="shared" si="48"/>
        <v>0</v>
      </c>
    </row>
  </sheetData>
  <sheetProtection password="EF93" sheet="1" objects="1" scenarios="1" selectLockedCells="1"/>
  <mergeCells count="6">
    <mergeCell ref="F79:G79"/>
    <mergeCell ref="H79:J79"/>
    <mergeCell ref="F33:G33"/>
    <mergeCell ref="H33:J33"/>
    <mergeCell ref="F56:G56"/>
    <mergeCell ref="H56:J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D32" sqref="D32"/>
    </sheetView>
  </sheetViews>
  <sheetFormatPr baseColWidth="10" defaultRowHeight="15"/>
  <cols>
    <col min="3" max="3" width="14.5703125" bestFit="1" customWidth="1"/>
    <col min="5" max="5" width="21.85546875" style="145" bestFit="1" customWidth="1"/>
    <col min="7" max="7" width="16.7109375" bestFit="1" customWidth="1"/>
    <col min="8" max="8" width="13.7109375" bestFit="1" customWidth="1"/>
    <col min="9" max="9" width="18.42578125" bestFit="1" customWidth="1"/>
    <col min="13" max="13" width="16.42578125" style="145" bestFit="1" customWidth="1"/>
  </cols>
  <sheetData>
    <row r="1" spans="1:13">
      <c r="B1" s="20" t="s">
        <v>153</v>
      </c>
      <c r="C1" s="20" t="s">
        <v>154</v>
      </c>
      <c r="D1" s="20" t="s">
        <v>145</v>
      </c>
      <c r="E1" s="149" t="s">
        <v>155</v>
      </c>
    </row>
    <row r="2" spans="1:13">
      <c r="A2" s="20" t="s">
        <v>5</v>
      </c>
      <c r="B2" s="20" t="s">
        <v>149</v>
      </c>
      <c r="C2" s="20" t="s">
        <v>150</v>
      </c>
      <c r="D2" s="20" t="s">
        <v>151</v>
      </c>
      <c r="E2" s="149" t="s">
        <v>152</v>
      </c>
      <c r="G2" s="20" t="s">
        <v>156</v>
      </c>
      <c r="H2" s="20" t="s">
        <v>157</v>
      </c>
      <c r="J2" s="20" t="s">
        <v>146</v>
      </c>
      <c r="K2" s="20" t="s">
        <v>147</v>
      </c>
      <c r="L2" s="20" t="s">
        <v>148</v>
      </c>
      <c r="M2" s="149" t="s">
        <v>158</v>
      </c>
    </row>
    <row r="3" spans="1:13">
      <c r="A3" s="147" t="s">
        <v>7</v>
      </c>
      <c r="B3" s="148">
        <f>Feuil1!C12</f>
        <v>0</v>
      </c>
      <c r="C3" s="148">
        <f>ROUNDDOWN(H3,0)</f>
        <v>0</v>
      </c>
      <c r="D3" s="151">
        <v>1050</v>
      </c>
      <c r="E3" s="150">
        <f>'LE CONSEILLER'!H$133</f>
        <v>0</v>
      </c>
      <c r="G3" s="152">
        <f>(((2*B3)+19)*((2*B3)+19))+((8*E3)/D3)</f>
        <v>361</v>
      </c>
      <c r="H3" s="148">
        <f>((-B3*2-19)+SQRT(G3))/2</f>
        <v>0</v>
      </c>
      <c r="J3" s="148">
        <f>C3*Feuil1!F12</f>
        <v>0</v>
      </c>
      <c r="K3" s="148">
        <f>C3*Feuil1!G12</f>
        <v>0</v>
      </c>
      <c r="L3" s="148">
        <f>C3*Feuil1!H12</f>
        <v>0</v>
      </c>
      <c r="M3" s="150">
        <f>(((B3+C3+9)*(B3+C3+10))-((B3+9)*(B3+10)))*D3/2</f>
        <v>0</v>
      </c>
    </row>
    <row r="4" spans="1:13">
      <c r="A4" s="147" t="s">
        <v>8</v>
      </c>
      <c r="B4" s="148">
        <f>Feuil1!C13</f>
        <v>0</v>
      </c>
      <c r="C4" s="148">
        <f t="shared" ref="C4:C13" si="0">ROUNDDOWN(H4,0)</f>
        <v>0</v>
      </c>
      <c r="D4" s="151">
        <v>12000</v>
      </c>
      <c r="E4" s="150">
        <f>'LE CONSEILLER'!H$133</f>
        <v>0</v>
      </c>
      <c r="G4" s="152">
        <f t="shared" ref="G4:G13" si="1">(((2*B4)+19)*((2*B4)+19))+((8*E4)/D4)</f>
        <v>361</v>
      </c>
      <c r="H4" s="148">
        <f t="shared" ref="H4:H13" si="2">((-B4*2-19)+SQRT(G4))/2</f>
        <v>0</v>
      </c>
      <c r="J4" s="148">
        <f>C4*Feuil1!F13</f>
        <v>0</v>
      </c>
      <c r="K4" s="148">
        <f>C4*Feuil1!G13</f>
        <v>0</v>
      </c>
      <c r="L4" s="148">
        <f>C4*Feuil1!H13</f>
        <v>0</v>
      </c>
      <c r="M4" s="150">
        <f t="shared" ref="M4:M13" si="3">(((B4+C4+9)*(B4+C4+10))-((B4+9)*(B4+10)))*D4/2</f>
        <v>0</v>
      </c>
    </row>
    <row r="5" spans="1:13">
      <c r="A5" s="147" t="s">
        <v>9</v>
      </c>
      <c r="B5" s="148">
        <f>Feuil1!C14</f>
        <v>0</v>
      </c>
      <c r="C5" s="148">
        <f t="shared" si="0"/>
        <v>0</v>
      </c>
      <c r="D5" s="151">
        <v>67500</v>
      </c>
      <c r="E5" s="150">
        <f>'LE CONSEILLER'!H$133</f>
        <v>0</v>
      </c>
      <c r="G5" s="152">
        <f t="shared" si="1"/>
        <v>361</v>
      </c>
      <c r="H5" s="148">
        <f t="shared" si="2"/>
        <v>0</v>
      </c>
      <c r="J5" s="148">
        <f>C5*Feuil1!F14</f>
        <v>0</v>
      </c>
      <c r="K5" s="148">
        <f>C5*Feuil1!G14</f>
        <v>0</v>
      </c>
      <c r="L5" s="148">
        <f>C5*Feuil1!H14</f>
        <v>0</v>
      </c>
      <c r="M5" s="150">
        <f t="shared" si="3"/>
        <v>0</v>
      </c>
    </row>
    <row r="6" spans="1:13">
      <c r="A6" s="147" t="s">
        <v>10</v>
      </c>
      <c r="B6" s="148">
        <f>Feuil1!C15</f>
        <v>0</v>
      </c>
      <c r="C6" s="148">
        <f t="shared" si="0"/>
        <v>0</v>
      </c>
      <c r="D6" s="151">
        <v>375000</v>
      </c>
      <c r="E6" s="150">
        <f>'LE CONSEILLER'!H$133</f>
        <v>0</v>
      </c>
      <c r="G6" s="152">
        <f t="shared" si="1"/>
        <v>361</v>
      </c>
      <c r="H6" s="148">
        <f t="shared" si="2"/>
        <v>0</v>
      </c>
      <c r="J6" s="148">
        <f>C6*Feuil1!F15</f>
        <v>0</v>
      </c>
      <c r="K6" s="148">
        <f>C6*Feuil1!G15</f>
        <v>0</v>
      </c>
      <c r="L6" s="148">
        <f>C6*Feuil1!H15</f>
        <v>0</v>
      </c>
      <c r="M6" s="150">
        <f t="shared" si="3"/>
        <v>0</v>
      </c>
    </row>
    <row r="7" spans="1:13">
      <c r="A7" s="147" t="s">
        <v>11</v>
      </c>
      <c r="B7" s="148">
        <f>Feuil1!C16</f>
        <v>0</v>
      </c>
      <c r="C7" s="148">
        <f t="shared" si="0"/>
        <v>0</v>
      </c>
      <c r="D7" s="151">
        <v>2400000</v>
      </c>
      <c r="E7" s="150">
        <f>'LE CONSEILLER'!H$133</f>
        <v>0</v>
      </c>
      <c r="G7" s="152">
        <f t="shared" si="1"/>
        <v>361</v>
      </c>
      <c r="H7" s="148">
        <f t="shared" si="2"/>
        <v>0</v>
      </c>
      <c r="J7" s="148">
        <f>C7*Feuil1!F16</f>
        <v>0</v>
      </c>
      <c r="K7" s="148">
        <f>C7*Feuil1!G16</f>
        <v>0</v>
      </c>
      <c r="L7" s="148">
        <f>C7*Feuil1!H16</f>
        <v>0</v>
      </c>
      <c r="M7" s="150">
        <f t="shared" si="3"/>
        <v>0</v>
      </c>
    </row>
    <row r="8" spans="1:13">
      <c r="A8" s="147" t="s">
        <v>12</v>
      </c>
      <c r="B8" s="148">
        <f>Feuil1!C17</f>
        <v>0</v>
      </c>
      <c r="C8" s="148">
        <f t="shared" si="0"/>
        <v>0</v>
      </c>
      <c r="D8" s="151">
        <v>6750000</v>
      </c>
      <c r="E8" s="150">
        <f>'LE CONSEILLER'!H$133</f>
        <v>0</v>
      </c>
      <c r="G8" s="152">
        <f t="shared" si="1"/>
        <v>361</v>
      </c>
      <c r="H8" s="148">
        <f t="shared" si="2"/>
        <v>0</v>
      </c>
      <c r="J8" s="148">
        <f>C8*Feuil1!F17</f>
        <v>0</v>
      </c>
      <c r="K8" s="148">
        <f>C8*Feuil1!G17</f>
        <v>0</v>
      </c>
      <c r="L8" s="148">
        <f>C8*Feuil1!H17</f>
        <v>0</v>
      </c>
      <c r="M8" s="150">
        <f t="shared" si="3"/>
        <v>0</v>
      </c>
    </row>
    <row r="9" spans="1:13">
      <c r="A9" s="147" t="s">
        <v>13</v>
      </c>
      <c r="B9" s="148">
        <f>Feuil1!C18</f>
        <v>0</v>
      </c>
      <c r="C9" s="148">
        <f t="shared" si="0"/>
        <v>0</v>
      </c>
      <c r="D9" s="151">
        <v>11250000</v>
      </c>
      <c r="E9" s="150">
        <f>'LE CONSEILLER'!H$133</f>
        <v>0</v>
      </c>
      <c r="G9" s="152">
        <f t="shared" si="1"/>
        <v>361</v>
      </c>
      <c r="H9" s="148">
        <f t="shared" si="2"/>
        <v>0</v>
      </c>
      <c r="J9" s="148">
        <f>C9*Feuil1!F18</f>
        <v>0</v>
      </c>
      <c r="K9" s="148">
        <f>C9*Feuil1!G18</f>
        <v>0</v>
      </c>
      <c r="L9" s="148">
        <f>C9*Feuil1!H18</f>
        <v>0</v>
      </c>
      <c r="M9" s="150">
        <f t="shared" si="3"/>
        <v>0</v>
      </c>
    </row>
    <row r="10" spans="1:13">
      <c r="A10" s="147" t="s">
        <v>14</v>
      </c>
      <c r="B10" s="148">
        <f>Feuil1!C19</f>
        <v>0</v>
      </c>
      <c r="C10" s="148">
        <f t="shared" si="0"/>
        <v>0</v>
      </c>
      <c r="D10" s="151">
        <v>20250000</v>
      </c>
      <c r="E10" s="150">
        <f>'LE CONSEILLER'!H$133</f>
        <v>0</v>
      </c>
      <c r="G10" s="152">
        <f t="shared" si="1"/>
        <v>361</v>
      </c>
      <c r="H10" s="148">
        <f t="shared" si="2"/>
        <v>0</v>
      </c>
      <c r="J10" s="148">
        <f>C10*Feuil1!F19</f>
        <v>0</v>
      </c>
      <c r="K10" s="148">
        <f>C10*Feuil1!G19</f>
        <v>0</v>
      </c>
      <c r="L10" s="148">
        <f>C10*Feuil1!H19</f>
        <v>0</v>
      </c>
      <c r="M10" s="150">
        <f t="shared" si="3"/>
        <v>0</v>
      </c>
    </row>
    <row r="11" spans="1:13">
      <c r="A11" s="147" t="s">
        <v>15</v>
      </c>
      <c r="B11" s="148">
        <f>Feuil1!C20</f>
        <v>0</v>
      </c>
      <c r="C11" s="148">
        <f t="shared" si="0"/>
        <v>0</v>
      </c>
      <c r="D11" s="151">
        <v>30600000</v>
      </c>
      <c r="E11" s="150">
        <f>'LE CONSEILLER'!H$133</f>
        <v>0</v>
      </c>
      <c r="G11" s="152">
        <f t="shared" si="1"/>
        <v>361</v>
      </c>
      <c r="H11" s="148">
        <f t="shared" si="2"/>
        <v>0</v>
      </c>
      <c r="J11" s="148">
        <f>C11*Feuil1!F20</f>
        <v>0</v>
      </c>
      <c r="K11" s="148">
        <f>C11*Feuil1!G20</f>
        <v>0</v>
      </c>
      <c r="L11" s="148">
        <f>C11*Feuil1!H20</f>
        <v>0</v>
      </c>
      <c r="M11" s="150">
        <f t="shared" si="3"/>
        <v>0</v>
      </c>
    </row>
    <row r="12" spans="1:13">
      <c r="A12" s="147" t="s">
        <v>16</v>
      </c>
      <c r="B12" s="148">
        <f>Feuil1!C21</f>
        <v>0</v>
      </c>
      <c r="C12" s="148">
        <f t="shared" si="0"/>
        <v>0</v>
      </c>
      <c r="D12" s="151">
        <v>54000000</v>
      </c>
      <c r="E12" s="150">
        <f>'LE CONSEILLER'!H$133</f>
        <v>0</v>
      </c>
      <c r="G12" s="152">
        <f t="shared" si="1"/>
        <v>361</v>
      </c>
      <c r="H12" s="148">
        <f t="shared" si="2"/>
        <v>0</v>
      </c>
      <c r="J12" s="148">
        <f>C12*Feuil1!F21</f>
        <v>0</v>
      </c>
      <c r="K12" s="148">
        <f>C12*Feuil1!G21</f>
        <v>0</v>
      </c>
      <c r="L12" s="148">
        <f>C12*Feuil1!H21</f>
        <v>0</v>
      </c>
      <c r="M12" s="150">
        <f t="shared" si="3"/>
        <v>0</v>
      </c>
    </row>
    <row r="13" spans="1:13">
      <c r="A13" s="147" t="s">
        <v>17</v>
      </c>
      <c r="B13" s="148">
        <f>Feuil1!C22</f>
        <v>0</v>
      </c>
      <c r="C13" s="148">
        <f t="shared" si="0"/>
        <v>0</v>
      </c>
      <c r="D13" s="151">
        <v>99000000</v>
      </c>
      <c r="E13" s="150">
        <f>'LE CONSEILLER'!H$133</f>
        <v>0</v>
      </c>
      <c r="G13" s="152">
        <f t="shared" si="1"/>
        <v>361</v>
      </c>
      <c r="H13" s="148">
        <f t="shared" si="2"/>
        <v>0</v>
      </c>
      <c r="J13" s="148">
        <f>C13*Feuil1!F22</f>
        <v>0</v>
      </c>
      <c r="K13" s="148">
        <f>C13*Feuil1!G22</f>
        <v>0</v>
      </c>
      <c r="L13" s="148">
        <f>C13*Feuil1!H22</f>
        <v>0</v>
      </c>
      <c r="M13" s="150">
        <f t="shared" si="3"/>
        <v>0</v>
      </c>
    </row>
    <row r="16" spans="1:13" s="146" customFormat="1">
      <c r="C16" s="153" t="s">
        <v>5</v>
      </c>
      <c r="D16" s="153" t="s">
        <v>159</v>
      </c>
      <c r="E16" s="153" t="s">
        <v>19</v>
      </c>
      <c r="F16" s="153" t="s">
        <v>20</v>
      </c>
      <c r="G16" s="153" t="s">
        <v>23</v>
      </c>
      <c r="H16" s="154" t="s">
        <v>160</v>
      </c>
      <c r="M16" s="74"/>
    </row>
    <row r="17" spans="2:9">
      <c r="B17" s="20" t="s">
        <v>19</v>
      </c>
      <c r="C17" s="155" t="str">
        <f>INDEX(A3:A13,MATCH(MAX(J3:J13),J3:J13,0))</f>
        <v>MENDIANT</v>
      </c>
      <c r="D17" s="155">
        <f>INDEX(C3:C13,MATCH(MAX(J3:J13),J3:J13,0))</f>
        <v>0</v>
      </c>
      <c r="E17" s="156">
        <f>INDEX(J3:J13,MATCH(MAX(J3:J13),J3:J13,0))</f>
        <v>0</v>
      </c>
      <c r="F17" s="155">
        <f>INDEX(K3:K13,MATCH(MAX(J3:J13),J3:J13,0))</f>
        <v>0</v>
      </c>
      <c r="G17" s="156">
        <f>INDEX(L3:L13,MATCH(MAX(J3:J13),J3:J13,0))</f>
        <v>0</v>
      </c>
      <c r="H17" s="156">
        <f>INDEX(M3:M13,MATCH(MAX(J3:J13),J3:J13,0))</f>
        <v>0</v>
      </c>
      <c r="I17" t="str">
        <f>CONCATENATE("(",E17," ; ",F17," ; ",G17,")")</f>
        <v>(0 ; 0 ; 0)</v>
      </c>
    </row>
    <row r="18" spans="2:9">
      <c r="B18" s="20" t="s">
        <v>20</v>
      </c>
      <c r="C18" s="155" t="str">
        <f>INDEX(A3:A13,MATCH(MAX(K3:K13),K3:K13,0))</f>
        <v>MENDIANT</v>
      </c>
      <c r="D18" s="155">
        <f>INDEX(C3:C13,MATCH(MAX(K3:K13),K3:K13,0))</f>
        <v>0</v>
      </c>
      <c r="E18" s="156">
        <f>INDEX(J3:J13,MATCH(MAX(K3:K13),K3:K13,0))</f>
        <v>0</v>
      </c>
      <c r="F18" s="155">
        <f>INDEX(K3:K13,MATCH(MAX(K3:K13),K3:K13,0))</f>
        <v>0</v>
      </c>
      <c r="G18" s="156">
        <f>INDEX(L3:L13,MATCH(MAX(K3:K13),K3:K13,0))</f>
        <v>0</v>
      </c>
      <c r="H18" s="156">
        <f>INDEX(M3:M13,MATCH(MAX(K3:K13),K3:K13,0))</f>
        <v>0</v>
      </c>
      <c r="I18" t="str">
        <f t="shared" ref="I18:I19" si="4">CONCATENATE("(",E18," ; ",F18," ; ",G18,")")</f>
        <v>(0 ; 0 ; 0)</v>
      </c>
    </row>
    <row r="19" spans="2:9">
      <c r="B19" s="20" t="s">
        <v>23</v>
      </c>
      <c r="C19" s="155" t="str">
        <f>INDEX(A3:A13,MATCH(MAX(L3:L13),L3:L13,0))</f>
        <v>MENDIANT</v>
      </c>
      <c r="D19" s="155">
        <f>INDEX(C3:C13,MATCH(MAX(L3:L13),L3:L13,0))</f>
        <v>0</v>
      </c>
      <c r="E19" s="156">
        <f>INDEX(J3:J13,MATCH(MAX(L3:L13),L3:L13,0))</f>
        <v>0</v>
      </c>
      <c r="F19" s="155">
        <f>INDEX(K3:K13,MATCH(MAX(L3:L13),L3:L13,0))</f>
        <v>0</v>
      </c>
      <c r="G19" s="156">
        <f>INDEX(L3:L13,MATCH(MAX(L3:L13),L3:L13,0))</f>
        <v>0</v>
      </c>
      <c r="H19" s="156">
        <f>INDEX(M3:M13,MATCH(MAX(L3:L13),L3:L13,0))</f>
        <v>0</v>
      </c>
      <c r="I19" t="str">
        <f t="shared" si="4"/>
        <v>(0 ; 0 ; 0)</v>
      </c>
    </row>
  </sheetData>
  <sheetProtection password="EF93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LE CONSEILLER</vt:lpstr>
      <vt:lpstr>Feuil1</vt:lpstr>
      <vt:lpstr>Feuil2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v_becquet</dc:creator>
  <cp:lastModifiedBy>v_becquet</cp:lastModifiedBy>
  <dcterms:created xsi:type="dcterms:W3CDTF">2013-04-29T12:44:59Z</dcterms:created>
  <dcterms:modified xsi:type="dcterms:W3CDTF">2013-05-15T13:03:01Z</dcterms:modified>
</cp:coreProperties>
</file>