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8" windowWidth="22116" windowHeight="9552" activeTab="1"/>
  </bookViews>
  <sheets>
    <sheet name="Mon armée" sheetId="5" r:id="rId1"/>
    <sheet name="Armée Ennemie" sheetId="1" r:id="rId2"/>
    <sheet name="Data" sheetId="2" state="hidden" r:id="rId3"/>
    <sheet name="Résumés Armées" sheetId="3" state="hidden" r:id="rId4"/>
    <sheet name="Calculs OS" sheetId="4" state="hidden" r:id="rId5"/>
    <sheet name="Opti XP" sheetId="8" r:id="rId6"/>
    <sheet name="Calcul XP" sheetId="7" state="hidden" r:id="rId7"/>
  </sheets>
  <calcPr calcId="125725"/>
</workbook>
</file>

<file path=xl/calcChain.xml><?xml version="1.0" encoding="utf-8"?>
<calcChain xmlns="http://schemas.openxmlformats.org/spreadsheetml/2006/main">
  <c r="K13" i="1"/>
  <c r="K14"/>
  <c r="K15"/>
  <c r="K16"/>
  <c r="K17"/>
  <c r="K18"/>
  <c r="K19"/>
  <c r="K12"/>
  <c r="L16" i="4"/>
  <c r="L17"/>
  <c r="L18"/>
  <c r="L19"/>
  <c r="L20"/>
  <c r="L21"/>
  <c r="L22"/>
  <c r="L23"/>
  <c r="L15"/>
  <c r="M15" s="1"/>
  <c r="G23"/>
  <c r="G22"/>
  <c r="G19"/>
  <c r="G20"/>
  <c r="G25"/>
  <c r="G26"/>
  <c r="G13"/>
  <c r="G14"/>
  <c r="G21"/>
  <c r="G15"/>
  <c r="G16"/>
  <c r="G17"/>
  <c r="G18"/>
  <c r="G24"/>
  <c r="E8"/>
  <c r="K53" i="2" l="1"/>
  <c r="J54" s="1"/>
  <c r="J53"/>
  <c r="N65"/>
  <c r="N60" s="1"/>
  <c r="N63"/>
  <c r="N66"/>
  <c r="N64"/>
  <c r="N62"/>
  <c r="N57" s="1"/>
  <c r="N61"/>
  <c r="N59"/>
  <c r="N56"/>
  <c r="N55"/>
  <c r="N54"/>
  <c r="N53"/>
  <c r="N48" s="1"/>
  <c r="J36"/>
  <c r="N46"/>
  <c r="N41" s="1"/>
  <c r="N49"/>
  <c r="N47"/>
  <c r="N45"/>
  <c r="N40" s="1"/>
  <c r="N44"/>
  <c r="N43" s="1"/>
  <c r="N42"/>
  <c r="N39"/>
  <c r="N38"/>
  <c r="N37"/>
  <c r="N36"/>
  <c r="K36"/>
  <c r="J37" s="1"/>
  <c r="F3" i="4"/>
  <c r="E3"/>
  <c r="B20" i="2"/>
  <c r="A20"/>
  <c r="B22"/>
  <c r="A22"/>
  <c r="B18"/>
  <c r="A18"/>
  <c r="N32"/>
  <c r="N31" s="1"/>
  <c r="N30"/>
  <c r="N29" s="1"/>
  <c r="N28"/>
  <c r="N23" s="1"/>
  <c r="N27"/>
  <c r="N26" s="1"/>
  <c r="N25"/>
  <c r="N24" s="1"/>
  <c r="N22"/>
  <c r="N21"/>
  <c r="N20"/>
  <c r="N19"/>
  <c r="K19"/>
  <c r="J19"/>
  <c r="N2"/>
  <c r="K2"/>
  <c r="J3" s="1"/>
  <c r="J2"/>
  <c r="N3"/>
  <c r="N4"/>
  <c r="N5"/>
  <c r="N8"/>
  <c r="N7" s="1"/>
  <c r="N10"/>
  <c r="N9" s="1"/>
  <c r="N11"/>
  <c r="N6" s="1"/>
  <c r="N13"/>
  <c r="N12" s="1"/>
  <c r="N15"/>
  <c r="N14" s="1"/>
  <c r="G2"/>
  <c r="C2" s="1"/>
  <c r="F2"/>
  <c r="F3" s="1"/>
  <c r="I5" i="1"/>
  <c r="J5" s="1"/>
  <c r="L19" i="2" l="1"/>
  <c r="G3" i="4"/>
  <c r="C18" i="2"/>
  <c r="K3" i="3" s="1"/>
  <c r="C20" i="2"/>
  <c r="M4" i="1"/>
  <c r="L53" i="2"/>
  <c r="L2"/>
  <c r="M2" s="1"/>
  <c r="N58"/>
  <c r="L36"/>
  <c r="R37" s="1"/>
  <c r="R38" s="1"/>
  <c r="R39" s="1"/>
  <c r="R40" s="1"/>
  <c r="R41" s="1"/>
  <c r="R42" s="1"/>
  <c r="R43" s="1"/>
  <c r="R44" s="1"/>
  <c r="R45" s="1"/>
  <c r="R46" s="1"/>
  <c r="R47" s="1"/>
  <c r="R48" s="1"/>
  <c r="R49" s="1"/>
  <c r="C22"/>
  <c r="J20"/>
  <c r="B3"/>
  <c r="F4"/>
  <c r="B2"/>
  <c r="G3"/>
  <c r="G19" i="3" l="1"/>
  <c r="R20" i="2"/>
  <c r="R21" s="1"/>
  <c r="R22" s="1"/>
  <c r="R23" s="1"/>
  <c r="R24" s="1"/>
  <c r="R25" s="1"/>
  <c r="R26" s="1"/>
  <c r="R27" s="1"/>
  <c r="R28" s="1"/>
  <c r="R29" s="1"/>
  <c r="R30" s="1"/>
  <c r="R31" s="1"/>
  <c r="R32" s="1"/>
  <c r="H3" i="4" s="1"/>
  <c r="M53" i="2"/>
  <c r="K54" s="1"/>
  <c r="L54" s="1"/>
  <c r="I19" i="3"/>
  <c r="I2" i="7"/>
  <c r="O2" s="1"/>
  <c r="C24" i="2"/>
  <c r="F21" i="3" s="1"/>
  <c r="I7" i="1" s="1"/>
  <c r="L7" i="5"/>
  <c r="J19" i="3"/>
  <c r="M19" i="2"/>
  <c r="P19" s="1"/>
  <c r="H19" i="3"/>
  <c r="M36" i="2"/>
  <c r="P36" s="1"/>
  <c r="P53"/>
  <c r="J55"/>
  <c r="K3"/>
  <c r="J4" s="1"/>
  <c r="G2" i="3"/>
  <c r="C3" i="2"/>
  <c r="G4"/>
  <c r="B4"/>
  <c r="F5"/>
  <c r="M7" i="5" l="1"/>
  <c r="N7"/>
  <c r="O7"/>
  <c r="K20" i="2"/>
  <c r="K37"/>
  <c r="J38" s="1"/>
  <c r="M54"/>
  <c r="J2" i="3"/>
  <c r="I2"/>
  <c r="H2"/>
  <c r="L3" i="2"/>
  <c r="B5"/>
  <c r="F6"/>
  <c r="G5"/>
  <c r="C4"/>
  <c r="L20" l="1"/>
  <c r="G20" i="3" s="1"/>
  <c r="P54" i="2"/>
  <c r="R54"/>
  <c r="R55" s="1"/>
  <c r="R56" s="1"/>
  <c r="R57" s="1"/>
  <c r="R58" s="1"/>
  <c r="R59" s="1"/>
  <c r="R60" s="1"/>
  <c r="R61" s="1"/>
  <c r="R62" s="1"/>
  <c r="R63" s="1"/>
  <c r="R64" s="1"/>
  <c r="R65" s="1"/>
  <c r="R66" s="1"/>
  <c r="J21"/>
  <c r="K55"/>
  <c r="J56" s="1"/>
  <c r="L37"/>
  <c r="L8" i="5" s="1"/>
  <c r="M3" i="2"/>
  <c r="K4" s="1"/>
  <c r="J5" s="1"/>
  <c r="G3" i="3"/>
  <c r="B6" i="2"/>
  <c r="F7"/>
  <c r="G6"/>
  <c r="C5"/>
  <c r="M20" l="1"/>
  <c r="H20" i="3"/>
  <c r="I3" i="7"/>
  <c r="O3" s="1"/>
  <c r="J20" i="3"/>
  <c r="I20"/>
  <c r="K21" i="2"/>
  <c r="J22" s="1"/>
  <c r="M16" i="4"/>
  <c r="P20" i="2"/>
  <c r="M37"/>
  <c r="L55"/>
  <c r="M55" s="1"/>
  <c r="K56" s="1"/>
  <c r="J3" i="3"/>
  <c r="H3"/>
  <c r="I3"/>
  <c r="L4" i="2"/>
  <c r="B7"/>
  <c r="F8"/>
  <c r="G7"/>
  <c r="C6"/>
  <c r="L21" l="1"/>
  <c r="G21" i="3" s="1"/>
  <c r="I4" i="7" s="1"/>
  <c r="O4" s="1"/>
  <c r="M8" i="5"/>
  <c r="O8"/>
  <c r="N8"/>
  <c r="P37" i="2"/>
  <c r="K38"/>
  <c r="J39" s="1"/>
  <c r="P55"/>
  <c r="J57"/>
  <c r="M4"/>
  <c r="K5" s="1"/>
  <c r="J6" s="1"/>
  <c r="G4" i="3"/>
  <c r="F9" i="2"/>
  <c r="B8"/>
  <c r="G8"/>
  <c r="C7"/>
  <c r="M21" l="1"/>
  <c r="P21" s="1"/>
  <c r="L38"/>
  <c r="L56"/>
  <c r="M56" s="1"/>
  <c r="K57" s="1"/>
  <c r="J21" i="3"/>
  <c r="H21"/>
  <c r="I21"/>
  <c r="H4"/>
  <c r="I4"/>
  <c r="J4"/>
  <c r="L5" i="2"/>
  <c r="F10"/>
  <c r="B9"/>
  <c r="G9"/>
  <c r="C8"/>
  <c r="K22" l="1"/>
  <c r="J23" s="1"/>
  <c r="M38"/>
  <c r="K39" s="1"/>
  <c r="J40" s="1"/>
  <c r="L9" i="5"/>
  <c r="P56" i="2"/>
  <c r="J58"/>
  <c r="M5"/>
  <c r="K6" s="1"/>
  <c r="L6" s="1"/>
  <c r="G5" i="3"/>
  <c r="F11" i="2"/>
  <c r="B10"/>
  <c r="G10"/>
  <c r="C9"/>
  <c r="L22" l="1"/>
  <c r="G22" i="3" s="1"/>
  <c r="I5" i="7" s="1"/>
  <c r="O5" s="1"/>
  <c r="P38" i="2"/>
  <c r="L39"/>
  <c r="N9" i="5"/>
  <c r="M9"/>
  <c r="O9"/>
  <c r="L57" i="2"/>
  <c r="M57" s="1"/>
  <c r="K58" s="1"/>
  <c r="J59" s="1"/>
  <c r="I5" i="3"/>
  <c r="J5"/>
  <c r="H5"/>
  <c r="J7" i="2"/>
  <c r="M6"/>
  <c r="G6" i="3"/>
  <c r="F12" i="2"/>
  <c r="B11"/>
  <c r="G11"/>
  <c r="C10"/>
  <c r="M22" l="1"/>
  <c r="L58"/>
  <c r="M58" s="1"/>
  <c r="K59" s="1"/>
  <c r="L10" i="5"/>
  <c r="M39" i="2"/>
  <c r="K7"/>
  <c r="J8" s="1"/>
  <c r="P57"/>
  <c r="J22" i="3"/>
  <c r="H22"/>
  <c r="I22"/>
  <c r="P22" i="2"/>
  <c r="K23"/>
  <c r="J24" s="1"/>
  <c r="J6" i="3"/>
  <c r="I6"/>
  <c r="H6"/>
  <c r="F13" i="2"/>
  <c r="B12"/>
  <c r="G12"/>
  <c r="C11"/>
  <c r="L23" l="1"/>
  <c r="N10" i="5"/>
  <c r="M22" i="4"/>
  <c r="M10" i="5"/>
  <c r="O10"/>
  <c r="K40" i="2"/>
  <c r="J41" s="1"/>
  <c r="P39"/>
  <c r="L7"/>
  <c r="G7" i="3" s="1"/>
  <c r="J7" s="1"/>
  <c r="P58" i="2"/>
  <c r="J60"/>
  <c r="F14"/>
  <c r="B13"/>
  <c r="G13"/>
  <c r="C12"/>
  <c r="L40" l="1"/>
  <c r="H7" i="3"/>
  <c r="I7"/>
  <c r="M7" i="2"/>
  <c r="K8" s="1"/>
  <c r="J9" s="1"/>
  <c r="K9" s="1"/>
  <c r="L59"/>
  <c r="M59" s="1"/>
  <c r="G23" i="3"/>
  <c r="I6" i="7" s="1"/>
  <c r="O6" s="1"/>
  <c r="M23" i="2"/>
  <c r="F15"/>
  <c r="B15" s="1"/>
  <c r="B14"/>
  <c r="G14"/>
  <c r="C13"/>
  <c r="K24" l="1"/>
  <c r="J25" s="1"/>
  <c r="L11" i="5"/>
  <c r="M40" i="2"/>
  <c r="L8"/>
  <c r="G8" i="3" s="1"/>
  <c r="J8" s="1"/>
  <c r="K60" i="2"/>
  <c r="J61" s="1"/>
  <c r="P59"/>
  <c r="J23" i="3"/>
  <c r="I23"/>
  <c r="H23"/>
  <c r="P23" i="2"/>
  <c r="G15"/>
  <c r="C15" s="1"/>
  <c r="C14"/>
  <c r="L24" l="1"/>
  <c r="M24" s="1"/>
  <c r="M17" i="4"/>
  <c r="O11" i="5"/>
  <c r="M11"/>
  <c r="N11"/>
  <c r="H8" i="3"/>
  <c r="I8"/>
  <c r="K41" i="2"/>
  <c r="J42" s="1"/>
  <c r="P40"/>
  <c r="M8"/>
  <c r="J10" s="1"/>
  <c r="L60"/>
  <c r="M60" s="1"/>
  <c r="P60" s="1"/>
  <c r="G24" i="3" l="1"/>
  <c r="I7" i="7" s="1"/>
  <c r="O7" s="1"/>
  <c r="L41" i="2"/>
  <c r="L12" i="5" s="1"/>
  <c r="L9" i="2"/>
  <c r="G9" i="3" s="1"/>
  <c r="J9" s="1"/>
  <c r="K61" i="2"/>
  <c r="J62" s="1"/>
  <c r="K25"/>
  <c r="J26" s="1"/>
  <c r="P24"/>
  <c r="I24" i="3"/>
  <c r="H24" l="1"/>
  <c r="J24"/>
  <c r="K26" i="2"/>
  <c r="J27" s="1"/>
  <c r="L25"/>
  <c r="M9"/>
  <c r="K10" s="1"/>
  <c r="J11" s="1"/>
  <c r="I9" i="3"/>
  <c r="H9"/>
  <c r="M41" i="2"/>
  <c r="L61"/>
  <c r="M61" s="1"/>
  <c r="P61" s="1"/>
  <c r="L10" l="1"/>
  <c r="G10" i="3" s="1"/>
  <c r="I10" s="1"/>
  <c r="P41" i="2"/>
  <c r="K42"/>
  <c r="J43" s="1"/>
  <c r="M12" i="5"/>
  <c r="N12"/>
  <c r="O12"/>
  <c r="K62" i="2"/>
  <c r="J63" s="1"/>
  <c r="G25" i="3"/>
  <c r="I8" i="7" s="1"/>
  <c r="O8" s="1"/>
  <c r="M25" i="2"/>
  <c r="L26" s="1"/>
  <c r="M10" l="1"/>
  <c r="K11" s="1"/>
  <c r="J12" s="1"/>
  <c r="J10" i="3"/>
  <c r="H10"/>
  <c r="L42" i="2"/>
  <c r="L13" i="5" s="1"/>
  <c r="K63" i="2"/>
  <c r="J64" s="1"/>
  <c r="L62"/>
  <c r="M62" s="1"/>
  <c r="P62" s="1"/>
  <c r="P25"/>
  <c r="I25" i="3"/>
  <c r="J25"/>
  <c r="H25"/>
  <c r="L11" i="2" l="1"/>
  <c r="G11" i="3" s="1"/>
  <c r="J11" s="1"/>
  <c r="M42" i="2"/>
  <c r="K43" s="1"/>
  <c r="J44" s="1"/>
  <c r="L63"/>
  <c r="M63" s="1"/>
  <c r="K64" s="1"/>
  <c r="J65" s="1"/>
  <c r="K65" s="1"/>
  <c r="G26" i="3"/>
  <c r="I9" i="7" s="1"/>
  <c r="O9" s="1"/>
  <c r="M26" i="2"/>
  <c r="I11" i="3" l="1"/>
  <c r="H11"/>
  <c r="M11" i="2"/>
  <c r="K12" s="1"/>
  <c r="J13" s="1"/>
  <c r="N13" i="5"/>
  <c r="O13"/>
  <c r="M13"/>
  <c r="P42" i="2"/>
  <c r="L43"/>
  <c r="L14" i="5" s="1"/>
  <c r="P63" i="2"/>
  <c r="J66"/>
  <c r="L64"/>
  <c r="M64" s="1"/>
  <c r="J26" i="3"/>
  <c r="I26"/>
  <c r="H26"/>
  <c r="P26" i="2"/>
  <c r="K27"/>
  <c r="J28" s="1"/>
  <c r="L27" l="1"/>
  <c r="M21" i="4"/>
  <c r="L12" i="2"/>
  <c r="G12" i="3" s="1"/>
  <c r="H12" s="1"/>
  <c r="M43" i="2"/>
  <c r="P64"/>
  <c r="L65"/>
  <c r="M65" s="1"/>
  <c r="K66" s="1"/>
  <c r="I12" i="3" l="1"/>
  <c r="J12"/>
  <c r="M12" i="2"/>
  <c r="K13" s="1"/>
  <c r="J14" s="1"/>
  <c r="N14" i="5"/>
  <c r="M14"/>
  <c r="O14"/>
  <c r="P43" i="2"/>
  <c r="K44"/>
  <c r="J45" s="1"/>
  <c r="P65"/>
  <c r="L66"/>
  <c r="G27" i="3"/>
  <c r="I10" i="7" s="1"/>
  <c r="O10" s="1"/>
  <c r="M27" i="2"/>
  <c r="L13" l="1"/>
  <c r="M13" s="1"/>
  <c r="L44"/>
  <c r="L15" i="5" s="1"/>
  <c r="M66" i="2"/>
  <c r="P66" s="1"/>
  <c r="H27" i="3"/>
  <c r="I27"/>
  <c r="J27"/>
  <c r="K28" i="2"/>
  <c r="J29" s="1"/>
  <c r="P27"/>
  <c r="L28" l="1"/>
  <c r="G28" i="3" s="1"/>
  <c r="I11" i="7" s="1"/>
  <c r="O11" s="1"/>
  <c r="M25" i="4"/>
  <c r="G13" i="3"/>
  <c r="H13" s="1"/>
  <c r="M44" i="2"/>
  <c r="K14"/>
  <c r="J15" s="1"/>
  <c r="I13" i="3"/>
  <c r="J13" l="1"/>
  <c r="M15" i="5"/>
  <c r="N15"/>
  <c r="O15"/>
  <c r="K45" i="2"/>
  <c r="J46" s="1"/>
  <c r="P44"/>
  <c r="M28"/>
  <c r="I28" i="3"/>
  <c r="H28"/>
  <c r="J28"/>
  <c r="L14" i="2"/>
  <c r="L45" l="1"/>
  <c r="L16" i="5" s="1"/>
  <c r="P28" i="2"/>
  <c r="K29"/>
  <c r="L29" s="1"/>
  <c r="M14"/>
  <c r="K15" s="1"/>
  <c r="L15" s="1"/>
  <c r="G14" i="3"/>
  <c r="M28" i="4" l="1"/>
  <c r="M45" i="2"/>
  <c r="J30"/>
  <c r="G15" i="3"/>
  <c r="M15" i="2"/>
  <c r="J14" i="3"/>
  <c r="I14"/>
  <c r="H14"/>
  <c r="P45" i="2" l="1"/>
  <c r="K46"/>
  <c r="J47" s="1"/>
  <c r="O16" i="5"/>
  <c r="M16"/>
  <c r="N16"/>
  <c r="G29" i="3"/>
  <c r="I12" i="7" s="1"/>
  <c r="O12" s="1"/>
  <c r="M29" i="2"/>
  <c r="K30" s="1"/>
  <c r="J31" s="1"/>
  <c r="J15" i="3"/>
  <c r="K13" s="1"/>
  <c r="H15"/>
  <c r="K2" s="1"/>
  <c r="I15"/>
  <c r="K7" s="1"/>
  <c r="L30" i="2" l="1"/>
  <c r="L46"/>
  <c r="L17" i="5" s="1"/>
  <c r="M23" i="4" s="1"/>
  <c r="I29" i="3"/>
  <c r="H29"/>
  <c r="J29"/>
  <c r="P29" i="2"/>
  <c r="K4" i="3"/>
  <c r="B3" i="4" s="1"/>
  <c r="F4" i="3"/>
  <c r="K8" s="1"/>
  <c r="K9" s="1"/>
  <c r="M20" i="4" l="1"/>
  <c r="M46" i="2"/>
  <c r="G30" i="3"/>
  <c r="I13" i="7" s="1"/>
  <c r="O13" s="1"/>
  <c r="M30" i="2"/>
  <c r="P46" l="1"/>
  <c r="K47"/>
  <c r="J48" s="1"/>
  <c r="M17" i="5"/>
  <c r="N17"/>
  <c r="O17"/>
  <c r="J30" i="3"/>
  <c r="I30"/>
  <c r="H30"/>
  <c r="P30" i="2"/>
  <c r="K31"/>
  <c r="J32" s="1"/>
  <c r="L31" l="1"/>
  <c r="L47"/>
  <c r="L18" i="5" s="1"/>
  <c r="M29" i="4" l="1"/>
  <c r="M26"/>
  <c r="M47" i="2"/>
  <c r="M31"/>
  <c r="G31" i="3"/>
  <c r="I14" i="7" s="1"/>
  <c r="O14" s="1"/>
  <c r="K48" i="2" l="1"/>
  <c r="J49" s="1"/>
  <c r="P47"/>
  <c r="N18" i="5"/>
  <c r="O18"/>
  <c r="M18"/>
  <c r="P31" i="2"/>
  <c r="K32"/>
  <c r="L32" s="1"/>
  <c r="I31" i="3"/>
  <c r="H31"/>
  <c r="J31"/>
  <c r="L48" i="2" l="1"/>
  <c r="L19" i="5" s="1"/>
  <c r="G32" i="3"/>
  <c r="I15" i="7" s="1"/>
  <c r="O15" s="1"/>
  <c r="O16" s="1"/>
  <c r="M32" i="2"/>
  <c r="P32" s="1"/>
  <c r="I3" i="4" s="1"/>
  <c r="J3" s="1"/>
  <c r="K3" s="1"/>
  <c r="L3" s="1"/>
  <c r="F23" i="3" s="1"/>
  <c r="J7" i="1" s="1"/>
  <c r="M18" i="4" l="1"/>
  <c r="M48" i="2"/>
  <c r="H32" i="3"/>
  <c r="K19" s="1"/>
  <c r="I32"/>
  <c r="K24" s="1"/>
  <c r="J32"/>
  <c r="K30" s="1"/>
  <c r="K31" s="1"/>
  <c r="K32" s="1"/>
  <c r="L12" i="4" l="1"/>
  <c r="M5" i="1"/>
  <c r="M19" i="5"/>
  <c r="N19"/>
  <c r="O19"/>
  <c r="K49" i="2"/>
  <c r="L49" s="1"/>
  <c r="L20" i="5" s="1"/>
  <c r="P48" i="2"/>
  <c r="K5" i="1"/>
  <c r="K20" i="3"/>
  <c r="K6" i="1" s="1"/>
  <c r="K25" i="3"/>
  <c r="L6" i="1" s="1"/>
  <c r="L5"/>
  <c r="M27" i="4" l="1"/>
  <c r="K23" i="5"/>
  <c r="K24" s="1"/>
  <c r="M30" i="4"/>
  <c r="M49" i="2"/>
  <c r="P49" s="1"/>
  <c r="K26" i="3"/>
  <c r="K21"/>
  <c r="K7" i="1" s="1"/>
  <c r="O20" i="5" l="1"/>
  <c r="O21" s="1"/>
  <c r="O22" s="1"/>
  <c r="O23" s="1"/>
  <c r="M20"/>
  <c r="M21" s="1"/>
  <c r="M22" s="1"/>
  <c r="M23" s="1"/>
  <c r="N20"/>
  <c r="N21" s="1"/>
  <c r="N22" s="1"/>
  <c r="N23" s="1"/>
  <c r="L7" i="1"/>
  <c r="B8" i="4"/>
  <c r="C8" s="1"/>
  <c r="F8" s="1"/>
  <c r="G8" s="1"/>
  <c r="L13" s="1"/>
  <c r="C3" i="8" s="1"/>
  <c r="L14" i="4" l="1"/>
  <c r="O15" s="1"/>
  <c r="P15" s="1"/>
  <c r="M19"/>
  <c r="O24" i="5"/>
  <c r="O25"/>
  <c r="N15" i="4" l="1"/>
  <c r="N16" s="1"/>
  <c r="O16" l="1"/>
  <c r="P16" s="1"/>
  <c r="C4" i="8" s="1"/>
  <c r="H4" l="1"/>
  <c r="J3" i="7"/>
  <c r="N17" i="4"/>
  <c r="O17" s="1"/>
  <c r="P3" i="7" l="1"/>
  <c r="N18" i="4"/>
  <c r="O18" s="1"/>
  <c r="P17"/>
  <c r="P18" l="1"/>
  <c r="C15" i="8" s="1"/>
  <c r="H15" l="1"/>
  <c r="J14" i="7"/>
  <c r="N19" i="4"/>
  <c r="O19" s="1"/>
  <c r="P19" s="1"/>
  <c r="J2" i="7" s="1"/>
  <c r="P14" l="1"/>
  <c r="P2"/>
  <c r="H3" i="8"/>
  <c r="N20" i="4"/>
  <c r="O20" s="1"/>
  <c r="P20" s="1"/>
  <c r="N21" l="1"/>
  <c r="O21" s="1"/>
  <c r="P21" s="1"/>
  <c r="C7" i="8" l="1"/>
  <c r="C10"/>
  <c r="N22" i="4"/>
  <c r="O22" s="1"/>
  <c r="P22" s="1"/>
  <c r="C6" i="8" s="1"/>
  <c r="H7" l="1"/>
  <c r="J6" i="7"/>
  <c r="H10" i="8"/>
  <c r="J9" i="7"/>
  <c r="H6" i="8"/>
  <c r="J5" i="7"/>
  <c r="N23" i="4"/>
  <c r="O23" s="1"/>
  <c r="P23" s="1"/>
  <c r="P5" i="7" l="1"/>
  <c r="P6"/>
  <c r="P9"/>
  <c r="C8" i="8"/>
  <c r="J7" i="7" s="1"/>
  <c r="C13" i="8"/>
  <c r="N24" i="4"/>
  <c r="O24" s="1"/>
  <c r="P24" s="1"/>
  <c r="P7" i="7" l="1"/>
  <c r="H8" i="8"/>
  <c r="J12" i="7"/>
  <c r="H13" i="8"/>
  <c r="N25" i="4"/>
  <c r="O25" s="1"/>
  <c r="P25" s="1"/>
  <c r="C11" i="8" s="1"/>
  <c r="P12" i="7" l="1"/>
  <c r="H11" i="8"/>
  <c r="J10" i="7"/>
  <c r="P10" s="1"/>
  <c r="N26" i="4"/>
  <c r="O26" l="1"/>
  <c r="P26" s="1"/>
  <c r="C14" i="8" s="1"/>
  <c r="H14" l="1"/>
  <c r="J13" i="7"/>
  <c r="P13" s="1"/>
  <c r="N27" i="4"/>
  <c r="O27" l="1"/>
  <c r="P27" s="1"/>
  <c r="C16" i="8" s="1"/>
  <c r="H16" l="1"/>
  <c r="J15" i="7"/>
  <c r="P15" s="1"/>
  <c r="N28" i="4"/>
  <c r="O28" l="1"/>
  <c r="P28" s="1"/>
  <c r="C12" i="8" s="1"/>
  <c r="H12" l="1"/>
  <c r="J11" i="7"/>
  <c r="P11" s="1"/>
  <c r="N29" i="4"/>
  <c r="O29" l="1"/>
  <c r="P29" s="1"/>
  <c r="C5" i="8" s="1"/>
  <c r="J4" i="7" s="1"/>
  <c r="P4" s="1"/>
  <c r="H5" i="8" l="1"/>
  <c r="N30" i="4"/>
  <c r="O30" l="1"/>
  <c r="P30" s="1"/>
  <c r="C9" i="8" s="1"/>
  <c r="J8" i="7" s="1"/>
  <c r="P8" s="1"/>
  <c r="P16" s="1"/>
  <c r="C17" l="1"/>
  <c r="C18" s="1"/>
  <c r="C19" s="1"/>
  <c r="C20" s="1"/>
  <c r="H9" i="8"/>
  <c r="H18" s="1"/>
  <c r="C18"/>
  <c r="N31" i="4"/>
  <c r="M6" i="1" s="1"/>
  <c r="C23" i="7" l="1"/>
  <c r="E4" i="8" s="1"/>
  <c r="C22" i="7"/>
  <c r="E3" i="8" s="1"/>
  <c r="C34" i="7"/>
  <c r="E15" i="8" s="1"/>
  <c r="C26" i="7"/>
  <c r="E7" i="8" s="1"/>
  <c r="C25" i="7"/>
  <c r="E6" i="8" s="1"/>
  <c r="C29" i="7"/>
  <c r="E10" i="8" s="1"/>
  <c r="C27" i="7"/>
  <c r="E8" i="8" s="1"/>
  <c r="C32" i="7"/>
  <c r="E13" i="8" s="1"/>
  <c r="E18" l="1"/>
  <c r="E20" s="1"/>
</calcChain>
</file>

<file path=xl/sharedStrings.xml><?xml version="1.0" encoding="utf-8"?>
<sst xmlns="http://schemas.openxmlformats.org/spreadsheetml/2006/main" count="430" uniqueCount="147">
  <si>
    <t>Vous avez infiltré l’ennemi. Les informations sont bien rentrées... mais pas vos soldates !</t>
  </si>
  <si>
    <t>Vos troupes ont échoué</t>
  </si>
  <si>
    <t>Lieu</t>
  </si>
  <si>
    <t>Pseudo</t>
  </si>
  <si>
    <t>Troupes</t>
  </si>
  <si>
    <t>Attaque</t>
  </si>
  <si>
    <t>Défense</t>
  </si>
  <si>
    <t>Jeunes Soldates Naines</t>
  </si>
  <si>
    <t>Soldates Naines</t>
  </si>
  <si>
    <t>Naines d'Elites</t>
  </si>
  <si>
    <t>Jeunes Soldates</t>
  </si>
  <si>
    <t>Soldates</t>
  </si>
  <si>
    <t>Concierges</t>
  </si>
  <si>
    <t>Artilleuses</t>
  </si>
  <si>
    <t>Artilleuses d'élites</t>
  </si>
  <si>
    <t>Soldates d'élites</t>
  </si>
  <si>
    <t>Tanks</t>
  </si>
  <si>
    <t>Tanks d'élites</t>
  </si>
  <si>
    <t>Tueuses</t>
  </si>
  <si>
    <t>Tueuses d'élites</t>
  </si>
  <si>
    <t>Concierges d'élites</t>
  </si>
  <si>
    <t>Dernière unité validée</t>
  </si>
  <si>
    <t>Elite oui/non</t>
  </si>
  <si>
    <t>Troupes avant</t>
  </si>
  <si>
    <t>Troupes après</t>
  </si>
  <si>
    <t>Quantité</t>
  </si>
  <si>
    <t>Unité</t>
  </si>
  <si>
    <t>Attaque base</t>
  </si>
  <si>
    <t>Defense base</t>
  </si>
  <si>
    <t>Vie base</t>
  </si>
  <si>
    <t>Attaquant</t>
  </si>
  <si>
    <t>Attaque HB</t>
  </si>
  <si>
    <t>Défense HB</t>
  </si>
  <si>
    <t>Vie HB</t>
  </si>
  <si>
    <t>Vie</t>
  </si>
  <si>
    <t>Armes</t>
  </si>
  <si>
    <t>Bt</t>
  </si>
  <si>
    <t>BT</t>
  </si>
  <si>
    <t>HB</t>
  </si>
  <si>
    <t>Bonus</t>
  </si>
  <si>
    <t>+</t>
  </si>
  <si>
    <t>)</t>
  </si>
  <si>
    <t>Att</t>
  </si>
  <si>
    <t>Def</t>
  </si>
  <si>
    <t>(</t>
  </si>
  <si>
    <t xml:space="preserve">L’ennemie inflige </t>
  </si>
  <si>
    <t>Armes def</t>
  </si>
  <si>
    <t>Attaque attaquant</t>
  </si>
  <si>
    <t>Fourmizzz 23/05/13 02h03 Rapport de combat</t>
  </si>
  <si>
    <t>Unités tuées</t>
  </si>
  <si>
    <t>tuez</t>
  </si>
  <si>
    <t>ennemies</t>
  </si>
  <si>
    <t>PERTES</t>
  </si>
  <si>
    <t>PERTES SI 0 Bonus</t>
  </si>
  <si>
    <t>unité</t>
  </si>
  <si>
    <t>vie base</t>
  </si>
  <si>
    <t xml:space="preserve">Bonus vie </t>
  </si>
  <si>
    <t>BT correspondant</t>
  </si>
  <si>
    <t>Mon Armée</t>
  </si>
  <si>
    <t xml:space="preserve">Vous êtes en </t>
  </si>
  <si>
    <t>Armée</t>
  </si>
  <si>
    <t xml:space="preserve"> </t>
  </si>
  <si>
    <t>Dôme</t>
  </si>
  <si>
    <t>Loge</t>
  </si>
  <si>
    <t>Total</t>
  </si>
  <si>
    <t>Calcul tampon à envoyer</t>
  </si>
  <si>
    <t>Réplique</t>
  </si>
  <si>
    <t>Vie jsn AB</t>
  </si>
  <si>
    <t>Jsn necéssaire</t>
  </si>
  <si>
    <t>Calcul OS</t>
  </si>
  <si>
    <t>Choisir l'optimisation en fonction de la priorité, 0 = ne pas envoyer, 9 = max</t>
  </si>
  <si>
    <t>Priorité</t>
  </si>
  <si>
    <t>Compléter RC</t>
  </si>
  <si>
    <t>Meilleures unités pour pex :</t>
  </si>
  <si>
    <t>Tank envoyé</t>
  </si>
  <si>
    <t>tank xp</t>
  </si>
  <si>
    <t>pourcentage</t>
  </si>
  <si>
    <t>jsn</t>
  </si>
  <si>
    <t>sn</t>
  </si>
  <si>
    <t>ne</t>
  </si>
  <si>
    <t>js</t>
  </si>
  <si>
    <t>s</t>
  </si>
  <si>
    <t>c</t>
  </si>
  <si>
    <t>ce</t>
  </si>
  <si>
    <t>a</t>
  </si>
  <si>
    <t>ae</t>
  </si>
  <si>
    <t>se</t>
  </si>
  <si>
    <t>tk</t>
  </si>
  <si>
    <t>tke</t>
  </si>
  <si>
    <t>tu</t>
  </si>
  <si>
    <t>tue</t>
  </si>
  <si>
    <t>Vie ennemi</t>
  </si>
  <si>
    <t>Tampon envoyé</t>
  </si>
  <si>
    <t>Marge sécu</t>
  </si>
  <si>
    <t>Restant pour os</t>
  </si>
  <si>
    <t>Unité prio 9</t>
  </si>
  <si>
    <t>Unité prio 8</t>
  </si>
  <si>
    <t>Unité prio 7</t>
  </si>
  <si>
    <t>Unité prio 6</t>
  </si>
  <si>
    <t>Unité prio 5</t>
  </si>
  <si>
    <t>Unité prio 4</t>
  </si>
  <si>
    <t>Unité prio 3</t>
  </si>
  <si>
    <t>Unité prio 2</t>
  </si>
  <si>
    <t>Unité prio 1</t>
  </si>
  <si>
    <t>Quantité à dispo</t>
  </si>
  <si>
    <t>Quantité nécéssaire pour OS</t>
  </si>
  <si>
    <t>Quantité envoyée</t>
  </si>
  <si>
    <t>Vie restante</t>
  </si>
  <si>
    <t>à récup dans autre onglet</t>
  </si>
  <si>
    <t>Vous êtes pex à</t>
  </si>
  <si>
    <t>Troupes à envoyer</t>
  </si>
  <si>
    <t>Ne pas mettre deux fois la même priorité (sauf 0)</t>
  </si>
  <si>
    <t>↓ RC à coller ici (A2)</t>
  </si>
  <si>
    <t>Fourmizzz 16/05/13 09h04 Rapport de combat</t>
  </si>
  <si>
    <t>Vous attaquez la Loge Impériale de Fourmyx</t>
  </si>
  <si>
    <t>Coeff</t>
  </si>
  <si>
    <t xml:space="preserve">Pourcentage correction : </t>
  </si>
  <si>
    <t>Il vous restera :</t>
  </si>
  <si>
    <t>Fdf correspondante :</t>
  </si>
  <si>
    <t>Armée ennemie</t>
  </si>
  <si>
    <t>Armée Alliée</t>
  </si>
  <si>
    <t>Ennemi *coeff</t>
  </si>
  <si>
    <t>Armée * Coeff</t>
  </si>
  <si>
    <t>Somme</t>
  </si>
  <si>
    <t>Coeff xp</t>
  </si>
  <si>
    <t>Vous attaquez la Loge Impériale de Biffleur</t>
  </si>
  <si>
    <t>Troupes en attaque:10 000 Jeunes Soldates.</t>
  </si>
  <si>
    <t>Troupes en défense:41 848 753 Jeunes Soldates Naines, 10 425 997 Soldates Naines, 59 641 413 Naines d'Elites, 1 830 811 Jeunes Soldates, 4 915 866 Soldates, 29 931 Concierges, 69 Concierges d'élites, 2 206 299 Artilleuses d'élites, 101 325 583 Soldates d'élites, 1 819 705 Tanks, 45 074 845 Tanks d'élites, 11 542 Tueuses, 465 174 Tueuses d'élites.</t>
  </si>
  <si>
    <t>Vous infligez 100 000(+210 000) dégâts et tuez 5 740 ennemies.</t>
  </si>
  <si>
    <t>L’ennemie inflige 3 012 558 096( +6 326 372 002 ) dégâts à vos fourmis et en tue 10 000.</t>
  </si>
  <si>
    <t>Troupes en attaque:139 376 233 Jeunes Soldates Naines, 12 276 358 Soldates Naines, 3 180 604 Naines d'Elites, 1 197 759 569 Jeunes Soldates, 15 426 452 Soldates, 43 964 Artilleuses, 4 210 641 Artilleuses d'élites, 28 306 378 Soldates d'élites, 306 794 632 Tanks, 7 959 787 Tanks d'élites, 2 Tueuses. </t>
  </si>
  <si>
    <t>Troupes en défense:1 Jeune Soldate Naine. </t>
  </si>
  <si>
    <r>
      <t>Vous infligez </t>
    </r>
    <r>
      <rPr>
        <b/>
        <sz val="9"/>
        <color rgb="FF000000"/>
        <rFont val="Verdana"/>
        <family val="2"/>
      </rPr>
      <t>31 049 299 434(+65 203 528 812)</t>
    </r>
    <r>
      <rPr>
        <sz val="9"/>
        <color rgb="FF000000"/>
        <rFont val="Verdana"/>
        <family val="2"/>
      </rPr>
      <t> dégâts et tuez </t>
    </r>
    <r>
      <rPr>
        <b/>
        <sz val="9"/>
        <color rgb="FF000000"/>
        <rFont val="Verdana"/>
        <family val="2"/>
      </rPr>
      <t>1</t>
    </r>
    <r>
      <rPr>
        <sz val="9"/>
        <color rgb="FF000000"/>
        <rFont val="Verdana"/>
        <family val="2"/>
      </rPr>
      <t> ennemie.</t>
    </r>
  </si>
  <si>
    <r>
      <t>L’ennemie inflige </t>
    </r>
    <r>
      <rPr>
        <b/>
        <sz val="9"/>
        <color rgb="FF000000"/>
        <rFont val="Verdana"/>
        <family val="2"/>
      </rPr>
      <t>1(+1)</t>
    </r>
    <r>
      <rPr>
        <sz val="9"/>
        <color rgb="FF000000"/>
        <rFont val="Verdana"/>
        <family val="2"/>
      </rPr>
      <t> dégâts à vos fourmis et en tue </t>
    </r>
    <r>
      <rPr>
        <b/>
        <sz val="9"/>
        <color rgb="FF000000"/>
        <rFont val="Verdana"/>
        <family val="2"/>
      </rPr>
      <t>0</t>
    </r>
    <r>
      <rPr>
        <sz val="9"/>
        <color rgb="FF000000"/>
        <rFont val="Verdana"/>
        <family val="2"/>
      </rPr>
      <t>.</t>
    </r>
  </si>
  <si>
    <t>Ecrasante victoire !</t>
  </si>
  <si>
    <t>A peine le temps de se dégourdir les pattes qu’ils étaient tous morts ...</t>
  </si>
  <si>
    <t>Vous avez gagné cette bataille!</t>
  </si>
  <si>
    <t>Cochenille</t>
  </si>
  <si>
    <t>avec Cochenille</t>
  </si>
  <si>
    <t>BT Equivalent (BT+Lieu)</t>
  </si>
  <si>
    <t>AB</t>
  </si>
  <si>
    <t>%age xp</t>
  </si>
  <si>
    <t>Troupes xp :</t>
  </si>
  <si>
    <t>-</t>
  </si>
  <si>
    <t>XP</t>
  </si>
  <si>
    <t>Fdf gagnée :</t>
  </si>
  <si>
    <t>Final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</si>
</sst>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000\ _€_-;\-* #,##0.0000\ _€_-;_-* &quot;-&quot;??\ _€_-;_-@_-"/>
    <numFmt numFmtId="166" formatCode="#,##0.0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Verdana"/>
      <family val="2"/>
    </font>
    <font>
      <sz val="10"/>
      <name val="Arial"/>
      <family val="2"/>
    </font>
    <font>
      <b/>
      <sz val="9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32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Fill="1" applyBorder="1"/>
    <xf numFmtId="0" fontId="0" fillId="0" borderId="2" xfId="0" applyFill="1" applyBorder="1"/>
    <xf numFmtId="164" fontId="0" fillId="0" borderId="1" xfId="1" applyNumberFormat="1" applyFont="1" applyBorder="1"/>
    <xf numFmtId="164" fontId="0" fillId="0" borderId="1" xfId="0" applyNumberFormat="1" applyBorder="1"/>
    <xf numFmtId="164" fontId="0" fillId="0" borderId="2" xfId="1" applyNumberFormat="1" applyFont="1" applyBorder="1" applyAlignment="1">
      <alignment horizontal="right" vertical="center"/>
    </xf>
    <xf numFmtId="164" fontId="0" fillId="0" borderId="0" xfId="1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2" xfId="1" applyNumberFormat="1" applyFont="1" applyBorder="1" applyAlignment="1">
      <alignment horizontal="left" vertical="center"/>
    </xf>
    <xf numFmtId="0" fontId="0" fillId="0" borderId="3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164" fontId="0" fillId="0" borderId="0" xfId="1" applyNumberFormat="1" applyFont="1"/>
    <xf numFmtId="164" fontId="0" fillId="0" borderId="0" xfId="0" applyNumberFormat="1"/>
    <xf numFmtId="165" fontId="0" fillId="0" borderId="0" xfId="0" applyNumberFormat="1"/>
    <xf numFmtId="9" fontId="0" fillId="0" borderId="0" xfId="0" applyNumberFormat="1"/>
    <xf numFmtId="10" fontId="0" fillId="0" borderId="0" xfId="2" applyNumberFormat="1" applyFont="1"/>
    <xf numFmtId="10" fontId="0" fillId="0" borderId="1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3" applyBorder="1"/>
    <xf numFmtId="9" fontId="0" fillId="0" borderId="1" xfId="2" applyFont="1" applyBorder="1"/>
    <xf numFmtId="166" fontId="3" fillId="0" borderId="1" xfId="3" applyNumberFormat="1" applyBorder="1"/>
    <xf numFmtId="0" fontId="0" fillId="0" borderId="7" xfId="0" applyFill="1" applyBorder="1"/>
    <xf numFmtId="0" fontId="4" fillId="0" borderId="0" xfId="0" applyFont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 vertical="center"/>
    </xf>
  </cellXfs>
  <cellStyles count="4">
    <cellStyle name="Milliers" xfId="1" builtinId="3"/>
    <cellStyle name="Normal" xfId="0" builtinId="0"/>
    <cellStyle name="Normal 2" xfId="3"/>
    <cellStyle name="Pourcentage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"/>
  <sheetViews>
    <sheetView workbookViewId="0">
      <selection activeCell="I18" sqref="I18"/>
    </sheetView>
  </sheetViews>
  <sheetFormatPr baseColWidth="10" defaultRowHeight="14.4"/>
  <cols>
    <col min="7" max="8" width="15.109375" bestFit="1" customWidth="1"/>
    <col min="10" max="10" width="13.6640625" bestFit="1" customWidth="1"/>
    <col min="11" max="11" width="19.88671875" bestFit="1" customWidth="1"/>
    <col min="13" max="14" width="16.21875" bestFit="1" customWidth="1"/>
    <col min="15" max="15" width="18.6640625" bestFit="1" customWidth="1"/>
  </cols>
  <sheetData>
    <row r="1" spans="1:15">
      <c r="A1" t="s">
        <v>112</v>
      </c>
    </row>
    <row r="2" spans="1:15">
      <c r="A2" s="1" t="s">
        <v>113</v>
      </c>
    </row>
    <row r="3" spans="1:15">
      <c r="A3" t="s">
        <v>61</v>
      </c>
    </row>
    <row r="5" spans="1:15" ht="15" thickBot="1">
      <c r="A5" s="1" t="s">
        <v>114</v>
      </c>
    </row>
    <row r="6" spans="1:15" ht="15" thickBot="1">
      <c r="L6" s="16" t="s">
        <v>60</v>
      </c>
      <c r="M6" s="13" t="s">
        <v>5</v>
      </c>
      <c r="N6" s="2" t="s">
        <v>6</v>
      </c>
      <c r="O6" s="2" t="s">
        <v>34</v>
      </c>
    </row>
    <row r="7" spans="1:15" ht="15" thickBot="1">
      <c r="A7" s="1" t="s">
        <v>130</v>
      </c>
      <c r="H7" t="s">
        <v>61</v>
      </c>
      <c r="I7" s="14" t="s">
        <v>59</v>
      </c>
      <c r="J7" s="15" t="s">
        <v>5</v>
      </c>
      <c r="K7" s="2" t="s">
        <v>7</v>
      </c>
      <c r="L7" s="12">
        <f>IF(J$7="Attaque",VALUE(Data!L36),VALUE(Data!L53))</f>
        <v>139376233</v>
      </c>
      <c r="M7" s="5">
        <f>$L7*'Résumés Armées'!C2</f>
        <v>418128699</v>
      </c>
      <c r="N7" s="5">
        <f>$L7*'Résumés Armées'!D2</f>
        <v>278752466</v>
      </c>
      <c r="O7" s="5">
        <f>$L7*'Résumés Armées'!E2</f>
        <v>1115009864</v>
      </c>
    </row>
    <row r="8" spans="1:15">
      <c r="A8" s="1" t="s">
        <v>131</v>
      </c>
      <c r="H8" t="s">
        <v>61</v>
      </c>
      <c r="K8" s="2" t="s">
        <v>8</v>
      </c>
      <c r="L8" s="12">
        <f>IF(J$7="Attaque",VALUE(Data!L37),VALUE(Data!L54))</f>
        <v>12276358</v>
      </c>
      <c r="M8" s="5">
        <f>$L8*'Résumés Armées'!C3</f>
        <v>61381790</v>
      </c>
      <c r="N8" s="5">
        <f>$L8*'Résumés Armées'!D3</f>
        <v>49105432</v>
      </c>
      <c r="O8" s="5">
        <f>$L8*'Résumés Armées'!E3</f>
        <v>122763580</v>
      </c>
    </row>
    <row r="9" spans="1:15">
      <c r="H9" t="s">
        <v>61</v>
      </c>
      <c r="I9" s="2" t="s">
        <v>35</v>
      </c>
      <c r="K9" s="2" t="s">
        <v>9</v>
      </c>
      <c r="L9" s="12">
        <f>IF(J$7="Attaque",VALUE(Data!L38),VALUE(Data!L55))</f>
        <v>3180604</v>
      </c>
      <c r="M9" s="5">
        <f>$L9*'Résumés Armées'!C4</f>
        <v>22264228</v>
      </c>
      <c r="N9" s="5">
        <f>$L9*'Résumés Armées'!D4</f>
        <v>19083624</v>
      </c>
      <c r="O9" s="5">
        <f>$L9*'Résumés Armées'!E4</f>
        <v>41347852</v>
      </c>
    </row>
    <row r="10" spans="1:15">
      <c r="A10" s="1" t="s">
        <v>132</v>
      </c>
      <c r="H10" t="s">
        <v>61</v>
      </c>
      <c r="I10" s="2">
        <v>21</v>
      </c>
      <c r="K10" s="2" t="s">
        <v>10</v>
      </c>
      <c r="L10" s="12">
        <f>IF(J$7="Attaque",VALUE(Data!L39),VALUE(Data!L56))</f>
        <v>1197759569</v>
      </c>
      <c r="M10" s="5">
        <f>$L10*'Résumés Armées'!C5</f>
        <v>11977595690</v>
      </c>
      <c r="N10" s="5">
        <f>$L10*'Résumés Armées'!D5</f>
        <v>10779836121</v>
      </c>
      <c r="O10" s="5">
        <f>$L10*'Résumés Armées'!E5</f>
        <v>19164153104</v>
      </c>
    </row>
    <row r="11" spans="1:15">
      <c r="A11" s="1" t="s">
        <v>133</v>
      </c>
      <c r="H11" t="s">
        <v>61</v>
      </c>
      <c r="I11" s="2" t="s">
        <v>36</v>
      </c>
      <c r="K11" s="2" t="s">
        <v>11</v>
      </c>
      <c r="L11" s="12">
        <f>IF(J$7="Attaque",VALUE(Data!L40),VALUE(Data!L57))</f>
        <v>15426452</v>
      </c>
      <c r="M11" s="5">
        <f>$L11*'Résumés Armées'!C6</f>
        <v>231396780</v>
      </c>
      <c r="N11" s="5">
        <f>$L11*'Résumés Armées'!D6</f>
        <v>215970328</v>
      </c>
      <c r="O11" s="5">
        <f>$L11*'Résumés Armées'!E6</f>
        <v>308529040</v>
      </c>
    </row>
    <row r="12" spans="1:15">
      <c r="H12" t="s">
        <v>61</v>
      </c>
      <c r="I12" s="2">
        <v>20</v>
      </c>
      <c r="K12" s="2" t="s">
        <v>12</v>
      </c>
      <c r="L12" s="12">
        <f>IF(J$7="Attaque",VALUE(Data!L41),VALUE(Data!L58))</f>
        <v>0</v>
      </c>
      <c r="M12" s="5">
        <f>$L12*'Résumés Armées'!C7</f>
        <v>0</v>
      </c>
      <c r="N12" s="5">
        <f>$L12*'Résumés Armées'!D7</f>
        <v>0</v>
      </c>
      <c r="O12" s="5">
        <f>$L12*'Résumés Armées'!E7</f>
        <v>0</v>
      </c>
    </row>
    <row r="13" spans="1:15">
      <c r="A13" s="1" t="s">
        <v>134</v>
      </c>
      <c r="H13" t="s">
        <v>61</v>
      </c>
      <c r="I13" s="2" t="s">
        <v>62</v>
      </c>
      <c r="K13" s="2" t="s">
        <v>20</v>
      </c>
      <c r="L13" s="12">
        <f>IF(J$7="Attaque",VALUE(Data!L42),VALUE(Data!L59))</f>
        <v>0</v>
      </c>
      <c r="M13" s="5">
        <f>$L13*'Résumés Armées'!C8</f>
        <v>0</v>
      </c>
      <c r="N13" s="5">
        <f>$L13*'Résumés Armées'!D8</f>
        <v>0</v>
      </c>
      <c r="O13" s="5">
        <f>$L13*'Résumés Armées'!E8</f>
        <v>0</v>
      </c>
    </row>
    <row r="14" spans="1:15">
      <c r="A14" s="1" t="s">
        <v>135</v>
      </c>
      <c r="H14" t="s">
        <v>61</v>
      </c>
      <c r="I14" s="2">
        <v>21</v>
      </c>
      <c r="K14" s="2" t="s">
        <v>13</v>
      </c>
      <c r="L14" s="12">
        <f>IF(J$7="Attaque",VALUE(Data!L43),VALUE(Data!L60))</f>
        <v>43964</v>
      </c>
      <c r="M14" s="5">
        <f>$L14*'Résumés Armées'!C9</f>
        <v>1318920</v>
      </c>
      <c r="N14" s="5">
        <f>$L14*'Résumés Armées'!D9</f>
        <v>659460</v>
      </c>
      <c r="O14" s="5">
        <f>$L14*'Résumés Armées'!E9</f>
        <v>439640</v>
      </c>
    </row>
    <row r="15" spans="1:15">
      <c r="A15" s="28" t="s">
        <v>136</v>
      </c>
      <c r="H15" t="s">
        <v>61</v>
      </c>
      <c r="I15" s="2" t="s">
        <v>63</v>
      </c>
      <c r="K15" s="2" t="s">
        <v>14</v>
      </c>
      <c r="L15" s="12">
        <f>IF(J$7="Attaque",VALUE(Data!L44),VALUE(Data!L61))</f>
        <v>4210641</v>
      </c>
      <c r="M15" s="5">
        <f>$L15*'Résumés Armées'!C10</f>
        <v>147372435</v>
      </c>
      <c r="N15" s="5">
        <f>$L15*'Résumés Armées'!D10</f>
        <v>75791538</v>
      </c>
      <c r="O15" s="5">
        <f>$L15*'Résumés Armées'!E10</f>
        <v>50527692</v>
      </c>
    </row>
    <row r="16" spans="1:15">
      <c r="I16" s="2">
        <v>22</v>
      </c>
      <c r="K16" s="2" t="s">
        <v>15</v>
      </c>
      <c r="L16" s="12">
        <f>IF(J$7="Attaque",VALUE(Data!L45),VALUE(Data!L62))</f>
        <v>28306378</v>
      </c>
      <c r="M16" s="5">
        <f>$L16*'Résumés Armées'!C11</f>
        <v>679353072</v>
      </c>
      <c r="N16" s="5">
        <f>$L16*'Résumés Armées'!D11</f>
        <v>651046694</v>
      </c>
      <c r="O16" s="5">
        <f>$L16*'Résumés Armées'!E11</f>
        <v>764272206</v>
      </c>
    </row>
    <row r="17" spans="7:15">
      <c r="I17" s="2" t="s">
        <v>137</v>
      </c>
      <c r="K17" s="2" t="s">
        <v>16</v>
      </c>
      <c r="L17" s="12">
        <f>IF(J$7="Attaque",VALUE(Data!L46),VALUE(Data!L63))</f>
        <v>306794632</v>
      </c>
      <c r="M17" s="5">
        <f>$L17*'Résumés Armées'!C12</f>
        <v>16873704760</v>
      </c>
      <c r="N17" s="5">
        <f>$L17*'Résumés Armées'!D12</f>
        <v>306794632</v>
      </c>
      <c r="O17" s="5">
        <f>$L17*'Résumés Armées'!E12</f>
        <v>10737812120</v>
      </c>
    </row>
    <row r="18" spans="7:15">
      <c r="I18" s="2">
        <v>7</v>
      </c>
      <c r="K18" s="2" t="s">
        <v>17</v>
      </c>
      <c r="L18" s="12">
        <f>IF(J$7="Attaque",VALUE(Data!L47),VALUE(Data!L64))</f>
        <v>7959787</v>
      </c>
      <c r="M18" s="5">
        <f>$L18*'Résumés Armées'!C13</f>
        <v>636782960</v>
      </c>
      <c r="N18" s="5">
        <f>$L18*'Résumés Armées'!D13</f>
        <v>7959787</v>
      </c>
      <c r="O18" s="5">
        <f>$L18*'Résumés Armées'!E13</f>
        <v>397989350</v>
      </c>
    </row>
    <row r="19" spans="7:15">
      <c r="K19" s="2" t="s">
        <v>18</v>
      </c>
      <c r="L19" s="12">
        <f>IF(J$7="Attaque",VALUE(Data!L48),VALUE(Data!L65))</f>
        <v>2</v>
      </c>
      <c r="M19" s="5">
        <f>$L19*'Résumés Armées'!C14</f>
        <v>100</v>
      </c>
      <c r="N19" s="5">
        <f>$L19*'Résumés Armées'!D14</f>
        <v>100</v>
      </c>
      <c r="O19" s="5">
        <f>$L19*'Résumés Armées'!E14</f>
        <v>100</v>
      </c>
    </row>
    <row r="20" spans="7:15">
      <c r="K20" s="2" t="s">
        <v>19</v>
      </c>
      <c r="L20" s="12">
        <f>IF(J$7="Attaque",VALUE(Data!L49),VALUE(Data!L66))</f>
        <v>0</v>
      </c>
      <c r="M20" s="5">
        <f>$L20*'Résumés Armées'!C15</f>
        <v>0</v>
      </c>
      <c r="N20" s="5">
        <f>$L20*'Résumés Armées'!D15</f>
        <v>0</v>
      </c>
      <c r="O20" s="5">
        <f>$L20*'Résumés Armées'!E15</f>
        <v>0</v>
      </c>
    </row>
    <row r="21" spans="7:15">
      <c r="L21" s="2" t="s">
        <v>38</v>
      </c>
      <c r="M21" s="6">
        <f>SUM(M7:M20)</f>
        <v>31049299434</v>
      </c>
      <c r="N21" s="6">
        <f>SUM(N7:N20)</f>
        <v>12385000182</v>
      </c>
      <c r="O21" s="6">
        <f>SUM(O7:O20)</f>
        <v>32702844548</v>
      </c>
    </row>
    <row r="22" spans="7:15">
      <c r="L22" s="2" t="s">
        <v>39</v>
      </c>
      <c r="M22" s="6">
        <f>M21*I10/10</f>
        <v>65203528811.400002</v>
      </c>
      <c r="N22" s="6">
        <f>N21*I10/10</f>
        <v>26008500382.200001</v>
      </c>
      <c r="O22" s="6">
        <f>O21*I12/10</f>
        <v>65405689096</v>
      </c>
    </row>
    <row r="23" spans="7:15">
      <c r="J23" s="2" t="s">
        <v>109</v>
      </c>
      <c r="K23" s="22">
        <f>(L8+L9+L11+L13+L15+L16+L18+L20)/SUM(L7:L20)</f>
        <v>4.1601340734322728E-2</v>
      </c>
      <c r="L23" s="2" t="s">
        <v>64</v>
      </c>
      <c r="M23" s="6">
        <f>M21+M22</f>
        <v>96252828245.399994</v>
      </c>
      <c r="N23" s="6">
        <f>N21+N22</f>
        <v>38393500564.199997</v>
      </c>
      <c r="O23" s="6">
        <f>O21+O22</f>
        <v>98108533644</v>
      </c>
    </row>
    <row r="24" spans="7:15">
      <c r="G24" s="18"/>
      <c r="H24" s="18"/>
      <c r="K24" s="23" t="str">
        <f>IF(K23&lt;0.01,"↑ LoL xD","")</f>
        <v/>
      </c>
      <c r="N24" s="2" t="s">
        <v>62</v>
      </c>
      <c r="O24" s="6">
        <f>O22+(0.1+0.05*I14)*O21+O21</f>
        <v>135716804874.20001</v>
      </c>
    </row>
    <row r="25" spans="7:15">
      <c r="N25" s="2" t="s">
        <v>63</v>
      </c>
      <c r="O25" s="6">
        <f>O22+(0.3+0.15*I16)*O21+O21</f>
        <v>215838774016.79999</v>
      </c>
    </row>
    <row r="26" spans="7:15">
      <c r="O26" s="18"/>
    </row>
    <row r="27" spans="7:15">
      <c r="O27" s="18"/>
    </row>
    <row r="28" spans="7:15">
      <c r="L28" s="19"/>
      <c r="N28" s="18"/>
      <c r="O28" s="18"/>
    </row>
    <row r="29" spans="7:15">
      <c r="O29" s="18"/>
    </row>
    <row r="30" spans="7:15">
      <c r="M30" s="18"/>
    </row>
  </sheetData>
  <dataValidations count="1">
    <dataValidation type="list" allowBlank="1" showInputMessage="1" showErrorMessage="1" sqref="J7">
      <formula1>"Attaque, Défense"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F22" sqref="F22"/>
    </sheetView>
  </sheetViews>
  <sheetFormatPr baseColWidth="10" defaultRowHeight="14.4"/>
  <cols>
    <col min="10" max="10" width="19.88671875" bestFit="1" customWidth="1"/>
    <col min="11" max="11" width="16.21875" bestFit="1" customWidth="1"/>
    <col min="12" max="12" width="15.109375" bestFit="1" customWidth="1"/>
    <col min="13" max="13" width="18.6640625" bestFit="1" customWidth="1"/>
  </cols>
  <sheetData>
    <row r="1" spans="1:13">
      <c r="A1" t="s">
        <v>112</v>
      </c>
      <c r="H1" t="s">
        <v>61</v>
      </c>
    </row>
    <row r="2" spans="1:13">
      <c r="A2" s="1" t="s">
        <v>48</v>
      </c>
      <c r="H2" t="s">
        <v>61</v>
      </c>
    </row>
    <row r="3" spans="1:13">
      <c r="H3" t="s">
        <v>61</v>
      </c>
    </row>
    <row r="4" spans="1:13">
      <c r="H4" t="s">
        <v>61</v>
      </c>
      <c r="I4" s="2" t="s">
        <v>2</v>
      </c>
      <c r="J4" s="2" t="s">
        <v>3</v>
      </c>
      <c r="K4" s="2" t="s">
        <v>5</v>
      </c>
      <c r="L4" s="2" t="s">
        <v>43</v>
      </c>
      <c r="M4" s="2" t="str">
        <f>CONCATENATE("OS"," ",I5)</f>
        <v>OS Loge</v>
      </c>
    </row>
    <row r="5" spans="1:13">
      <c r="A5" s="1" t="s">
        <v>125</v>
      </c>
      <c r="H5" t="s">
        <v>61</v>
      </c>
      <c r="I5" s="2" t="str">
        <f>IF(ISERROR(SEARCH("Loge",A5)),"Dôme","Loge")</f>
        <v>Loge</v>
      </c>
      <c r="J5" s="2" t="str">
        <f>IF(I5="Loge",RIGHT(A5,(LEN(A5)-35)),RIGHT(A5,(LEN(A5)-32)))</f>
        <v>Biffleur</v>
      </c>
      <c r="K5" s="5">
        <f>'Résumés Armées'!K19</f>
        <v>6928509737</v>
      </c>
      <c r="L5" s="5">
        <f>'Résumés Armées'!K24</f>
        <v>3012558096</v>
      </c>
      <c r="M5" s="5">
        <f>'Résumés Armées'!K32</f>
        <v>43534742478.876305</v>
      </c>
    </row>
    <row r="6" spans="1:13">
      <c r="H6" t="s">
        <v>61</v>
      </c>
      <c r="I6" s="2" t="s">
        <v>35</v>
      </c>
      <c r="J6" s="2" t="s">
        <v>139</v>
      </c>
      <c r="K6" s="5">
        <f>'Résumés Armées'!K20</f>
        <v>14549870447.700001</v>
      </c>
      <c r="L6" s="5">
        <f>'Résumés Armées'!K25</f>
        <v>6326372001.6000004</v>
      </c>
      <c r="M6" s="5" t="str">
        <f>IF('Calculs OS'!N31&gt;0,"Deux tours ou plus","OS possible")</f>
        <v>OS possible</v>
      </c>
    </row>
    <row r="7" spans="1:13">
      <c r="A7" s="1" t="s">
        <v>126</v>
      </c>
      <c r="H7" t="s">
        <v>61</v>
      </c>
      <c r="I7" s="29">
        <f>'Résumés Armées'!F21</f>
        <v>21</v>
      </c>
      <c r="J7" s="30">
        <f>'Résumés Armées'!F23</f>
        <v>57.508710801393725</v>
      </c>
      <c r="K7" s="5">
        <f>'Résumés Armées'!K21</f>
        <v>21478380184.700001</v>
      </c>
      <c r="L7" s="5">
        <f>'Résumés Armées'!K26</f>
        <v>9338930097.6000004</v>
      </c>
      <c r="M7" s="5"/>
    </row>
    <row r="8" spans="1:13">
      <c r="A8" s="1" t="s">
        <v>127</v>
      </c>
      <c r="H8" t="s">
        <v>61</v>
      </c>
    </row>
    <row r="9" spans="1:13">
      <c r="H9" t="s">
        <v>61</v>
      </c>
      <c r="I9" t="s">
        <v>70</v>
      </c>
    </row>
    <row r="10" spans="1:13">
      <c r="A10" s="1" t="s">
        <v>128</v>
      </c>
      <c r="H10" t="s">
        <v>61</v>
      </c>
      <c r="I10" t="s">
        <v>111</v>
      </c>
    </row>
    <row r="11" spans="1:13">
      <c r="A11" s="1" t="s">
        <v>129</v>
      </c>
      <c r="H11" t="s">
        <v>61</v>
      </c>
      <c r="I11" s="2" t="s">
        <v>71</v>
      </c>
      <c r="J11" s="2" t="s">
        <v>26</v>
      </c>
    </row>
    <row r="12" spans="1:13">
      <c r="H12" t="s">
        <v>61</v>
      </c>
      <c r="I12" s="2">
        <v>0</v>
      </c>
      <c r="J12" s="2" t="s">
        <v>7</v>
      </c>
      <c r="K12" t="str">
        <f>IF(I12=0,"",IF(COUNTIF($I$12:$I$19,I12)&gt;1,I$10,""))</f>
        <v/>
      </c>
    </row>
    <row r="13" spans="1:13">
      <c r="A13" s="1" t="s">
        <v>0</v>
      </c>
      <c r="H13" t="s">
        <v>61</v>
      </c>
      <c r="I13" s="2">
        <v>0</v>
      </c>
      <c r="J13" s="2" t="s">
        <v>8</v>
      </c>
      <c r="K13" t="str">
        <f t="shared" ref="K13:K19" si="0">IF(I13=0,"",IF(COUNTIF($I$12:$I$19,I13)&gt;1,I$10,""))</f>
        <v/>
      </c>
    </row>
    <row r="14" spans="1:13">
      <c r="A14" s="1" t="s">
        <v>1</v>
      </c>
      <c r="H14" t="s">
        <v>61</v>
      </c>
      <c r="I14" s="2">
        <v>0</v>
      </c>
      <c r="J14" s="2" t="s">
        <v>10</v>
      </c>
      <c r="K14" t="str">
        <f t="shared" si="0"/>
        <v/>
      </c>
    </row>
    <row r="15" spans="1:13">
      <c r="A15" s="1"/>
      <c r="H15" t="s">
        <v>61</v>
      </c>
      <c r="I15" s="2">
        <v>0</v>
      </c>
      <c r="J15" s="2" t="s">
        <v>11</v>
      </c>
      <c r="K15" t="str">
        <f t="shared" si="0"/>
        <v/>
      </c>
    </row>
    <row r="16" spans="1:13">
      <c r="A16" s="1"/>
      <c r="H16" t="s">
        <v>61</v>
      </c>
      <c r="I16" s="27">
        <v>0</v>
      </c>
      <c r="J16" s="2" t="s">
        <v>12</v>
      </c>
      <c r="K16" t="str">
        <f t="shared" si="0"/>
        <v/>
      </c>
    </row>
    <row r="17" spans="1:11">
      <c r="A17" s="1"/>
      <c r="H17" t="s">
        <v>61</v>
      </c>
      <c r="I17" s="2">
        <v>0</v>
      </c>
      <c r="J17" s="2" t="s">
        <v>13</v>
      </c>
      <c r="K17" t="str">
        <f t="shared" si="0"/>
        <v/>
      </c>
    </row>
    <row r="18" spans="1:11">
      <c r="A18" s="1"/>
      <c r="H18" t="s">
        <v>61</v>
      </c>
      <c r="I18" s="2">
        <v>1</v>
      </c>
      <c r="J18" s="2" t="s">
        <v>16</v>
      </c>
      <c r="K18" t="str">
        <f t="shared" si="0"/>
        <v/>
      </c>
    </row>
    <row r="19" spans="1:11">
      <c r="A19" s="1"/>
      <c r="H19" t="s">
        <v>61</v>
      </c>
      <c r="I19" s="2">
        <v>0</v>
      </c>
      <c r="J19" s="2" t="s">
        <v>18</v>
      </c>
      <c r="K19" t="str">
        <f t="shared" si="0"/>
        <v/>
      </c>
    </row>
    <row r="20" spans="1:11">
      <c r="H20" t="s">
        <v>61</v>
      </c>
    </row>
    <row r="21" spans="1:11">
      <c r="H21" t="s">
        <v>61</v>
      </c>
    </row>
    <row r="22" spans="1:11">
      <c r="H22" t="s">
        <v>61</v>
      </c>
    </row>
    <row r="23" spans="1:11">
      <c r="H23" t="s">
        <v>61</v>
      </c>
    </row>
    <row r="24" spans="1:11">
      <c r="H24" t="s">
        <v>61</v>
      </c>
    </row>
    <row r="25" spans="1:11">
      <c r="H25" t="s">
        <v>61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66"/>
  <sheetViews>
    <sheetView topLeftCell="B16" workbookViewId="0">
      <selection activeCell="P52" sqref="P52"/>
    </sheetView>
  </sheetViews>
  <sheetFormatPr baseColWidth="10" defaultRowHeight="14.4"/>
  <sheetData>
    <row r="1" spans="1:14">
      <c r="A1" t="s">
        <v>4</v>
      </c>
      <c r="B1" t="s">
        <v>5</v>
      </c>
      <c r="C1" t="s">
        <v>6</v>
      </c>
      <c r="E1" t="s">
        <v>4</v>
      </c>
      <c r="F1" t="s">
        <v>5</v>
      </c>
      <c r="G1" t="s">
        <v>6</v>
      </c>
      <c r="H1" t="s">
        <v>5</v>
      </c>
      <c r="I1" t="s">
        <v>4</v>
      </c>
      <c r="J1" t="s">
        <v>23</v>
      </c>
      <c r="K1" t="s">
        <v>24</v>
      </c>
      <c r="L1" t="s">
        <v>25</v>
      </c>
      <c r="M1" t="s">
        <v>21</v>
      </c>
      <c r="N1" t="s">
        <v>22</v>
      </c>
    </row>
    <row r="2" spans="1:14">
      <c r="A2" t="s">
        <v>7</v>
      </c>
      <c r="B2" t="str">
        <f>IF(F2="Absence","Absence","Présence")</f>
        <v>Absence</v>
      </c>
      <c r="C2" t="str">
        <f>IF(G2="Absence","Absence","Présence")</f>
        <v>Présence</v>
      </c>
      <c r="E2" t="s">
        <v>7</v>
      </c>
      <c r="F2" t="str">
        <f>IFERROR(SEARCH($E2,'Armée Ennemie'!$A$7),"Absence")</f>
        <v>Absence</v>
      </c>
      <c r="G2">
        <f>IFERROR(SEARCH($E2,'Armée Ennemie'!$A$8),"Absence")</f>
        <v>31</v>
      </c>
      <c r="I2" t="s">
        <v>7</v>
      </c>
      <c r="J2">
        <f>SEARCH(":",'Armée Ennemie'!A7)</f>
        <v>19</v>
      </c>
      <c r="K2">
        <f>IF(ISERROR(SEARCH(I2,'Armée Ennemie'!$A$7)),J2,SEARCH(I2,'Armée Ennemie'!$A$7))</f>
        <v>19</v>
      </c>
      <c r="L2">
        <f>IFERROR(MID('Armée Ennemie'!$A$7,Data!J2+1,(Data!K2-Data!J2-2)),0)</f>
        <v>0</v>
      </c>
      <c r="M2" t="str">
        <f>IF(L2&lt;&gt;0,I2,":")</f>
        <v>:</v>
      </c>
      <c r="N2">
        <f>IFERROR(SEARCH(I2,'Armée Ennemie'!$A$7),0)</f>
        <v>0</v>
      </c>
    </row>
    <row r="3" spans="1:14">
      <c r="A3" t="s">
        <v>8</v>
      </c>
      <c r="B3" t="str">
        <f>IF(F3=F2,"Absence","Présence")</f>
        <v>Absence</v>
      </c>
      <c r="C3" t="str">
        <f>IF(G3=G2,"Absence","Présence")</f>
        <v>Présence</v>
      </c>
      <c r="E3" t="s">
        <v>8</v>
      </c>
      <c r="F3" t="str">
        <f>IFERROR(SEARCH($E3,'Armée Ennemie'!$A$7,(LEN(E2)+F2)),F2)</f>
        <v>Absence</v>
      </c>
      <c r="G3">
        <f>IFERROR(SEARCH($E3,'Armée Ennemie'!$A$8,(LEN(E2)+G2)),G2)</f>
        <v>66</v>
      </c>
      <c r="I3" t="s">
        <v>8</v>
      </c>
      <c r="J3">
        <f>K2</f>
        <v>19</v>
      </c>
      <c r="K3">
        <f>IF(ISERROR(SEARCH(I3,'Armée Ennemie'!$A$7,(J3+LEN(M2)))),J3,SEARCH(I3,'Armée Ennemie'!$A$7,(J3+LEN(M2))))</f>
        <v>19</v>
      </c>
      <c r="L3">
        <f>IFERROR(MID('Armée Ennemie'!$A$7,Data!J3+2+LEN(M2)-IF(M2=":",2,0),(Data!K3-Data!J3-3+IF(M2=":",2,0)-LEN(M2))),0)</f>
        <v>0</v>
      </c>
      <c r="M3" t="str">
        <f t="shared" ref="M3:M15" si="0">IF(L3&lt;&gt;0,I3,M2)</f>
        <v>:</v>
      </c>
      <c r="N3">
        <f>IFERROR(SEARCH(I3,'Armée Ennemie'!$A$7),0)</f>
        <v>0</v>
      </c>
    </row>
    <row r="4" spans="1:14">
      <c r="A4" t="s">
        <v>9</v>
      </c>
      <c r="B4" t="str">
        <f t="shared" ref="B4:B15" si="1">IF(F4=F3,"Absence","Présence")</f>
        <v>Absence</v>
      </c>
      <c r="C4" t="str">
        <f t="shared" ref="C4:C15" si="2">IF(G4=G3,"Absence","Présence")</f>
        <v>Présence</v>
      </c>
      <c r="E4" t="s">
        <v>9</v>
      </c>
      <c r="F4" t="str">
        <f>IFERROR(SEARCH($E4,'Armée Ennemie'!$A$7,(LEN(E3)+F3)),F3)</f>
        <v>Absence</v>
      </c>
      <c r="G4">
        <f>IFERROR(SEARCH($E4,'Armée Ennemie'!$A$8,(LEN(E3)+G3)),G3)</f>
        <v>94</v>
      </c>
      <c r="I4" t="s">
        <v>9</v>
      </c>
      <c r="J4">
        <f>K3</f>
        <v>19</v>
      </c>
      <c r="K4">
        <f>IF(ISERROR(SEARCH(I4,'Armée Ennemie'!$A$7,(J4+LEN(M3)))),J4,SEARCH(I4,'Armée Ennemie'!$A$7,(J4+LEN(M3))))</f>
        <v>19</v>
      </c>
      <c r="L4">
        <f>IFERROR(MID('Armée Ennemie'!$A$7,Data!J4+2+LEN(M3)-IF(M3=":",2,0),(Data!K4-Data!J4-3+IF(M3=":",2,0)-LEN(M3))),0)</f>
        <v>0</v>
      </c>
      <c r="M4" t="str">
        <f t="shared" si="0"/>
        <v>:</v>
      </c>
      <c r="N4">
        <f>IFERROR(SEARCH(I4,'Armée Ennemie'!$A$7),0)</f>
        <v>0</v>
      </c>
    </row>
    <row r="5" spans="1:14">
      <c r="A5" t="s">
        <v>10</v>
      </c>
      <c r="B5" t="str">
        <f t="shared" si="1"/>
        <v>Absence</v>
      </c>
      <c r="C5" t="str">
        <f t="shared" si="2"/>
        <v>Présence</v>
      </c>
      <c r="E5" t="s">
        <v>10</v>
      </c>
      <c r="F5" t="str">
        <f>IFERROR(SEARCH($E5,'Armée Ennemie'!$A$7,(LEN(E4)+F4)),F4)</f>
        <v>Absence</v>
      </c>
      <c r="G5">
        <f>IFERROR(SEARCH($E5,'Armée Ennemie'!$A$8,(LEN(E4)+G4)),G4)</f>
        <v>121</v>
      </c>
      <c r="I5" t="s">
        <v>10</v>
      </c>
      <c r="J5">
        <f>K4</f>
        <v>19</v>
      </c>
      <c r="K5">
        <f>IF(ISERROR(SEARCH(I5,'Armée Ennemie'!$A$7,(J5+LEN(M4)))),J5,SEARCH(I5,'Armée Ennemie'!$A$7,(J5+LEN(M4))))</f>
        <v>27</v>
      </c>
      <c r="L5" t="str">
        <f>IFERROR(MID('Armée Ennemie'!$A$7,Data!J5+2+LEN(M4)-IF(M4=":",2,0),(Data!K5-Data!J5-3+IF(M4=":",2,0)-LEN(M4))),0)</f>
        <v>10 000</v>
      </c>
      <c r="M5" t="str">
        <f t="shared" si="0"/>
        <v>Jeunes Soldates</v>
      </c>
      <c r="N5">
        <f>IFERROR(SEARCH(I5,'Armée Ennemie'!$A$7),0)</f>
        <v>27</v>
      </c>
    </row>
    <row r="6" spans="1:14">
      <c r="A6" t="s">
        <v>11</v>
      </c>
      <c r="B6" t="str">
        <f t="shared" si="1"/>
        <v>Absence</v>
      </c>
      <c r="C6" t="str">
        <f t="shared" si="2"/>
        <v>Présence</v>
      </c>
      <c r="E6" t="s">
        <v>11</v>
      </c>
      <c r="F6" t="str">
        <f>IFERROR(SEARCH($E6,'Armée Ennemie'!$A$7,(LEN(E5)+F5)),F5)</f>
        <v>Absence</v>
      </c>
      <c r="G6">
        <f>IFERROR(SEARCH($E6,'Armée Ennemie'!$A$8,(LEN(E5)+G5)),G5)</f>
        <v>148</v>
      </c>
      <c r="I6" t="s">
        <v>11</v>
      </c>
      <c r="J6">
        <f>K5</f>
        <v>27</v>
      </c>
      <c r="K6">
        <f>IF(N6=0,J6,IF(ISERROR(SEARCH(I6,'Armée Ennemie'!$A$7,(J6+LEN(M5)))),J6,SEARCH(I6,'Armée Ennemie'!$A$7,(J6+LEN(M5)))))</f>
        <v>27</v>
      </c>
      <c r="L6">
        <f>IFERROR(MID('Armée Ennemie'!$A$7,Data!J6+2+LEN(M5)-IF(M5=":",2,0),(Data!K6-Data!J6-3+IF(M5=":",2,0)-LEN(M5))),0)</f>
        <v>0</v>
      </c>
      <c r="M6" t="str">
        <f t="shared" si="0"/>
        <v>Jeunes Soldates</v>
      </c>
      <c r="N6">
        <f>IF(IFERROR(SEARCH(I6,'Armée Ennemie'!$A$7),0)=N11,0,IFERROR(SEARCH(I6,'Armée Ennemie'!$A$7),0))</f>
        <v>34</v>
      </c>
    </row>
    <row r="7" spans="1:14">
      <c r="A7" t="s">
        <v>12</v>
      </c>
      <c r="B7" t="str">
        <f t="shared" si="1"/>
        <v>Absence</v>
      </c>
      <c r="C7" t="str">
        <f t="shared" si="2"/>
        <v>Présence</v>
      </c>
      <c r="E7" t="s">
        <v>12</v>
      </c>
      <c r="F7" t="str">
        <f>IFERROR(SEARCH($E7,'Armée Ennemie'!$A$7,(LEN(E6)+F6)),F6)</f>
        <v>Absence</v>
      </c>
      <c r="G7">
        <f>IFERROR(SEARCH($E7,'Armée Ennemie'!$A$8,(LEN(E6)+G6)),G6)</f>
        <v>165</v>
      </c>
      <c r="I7" t="s">
        <v>12</v>
      </c>
      <c r="J7">
        <f>K6</f>
        <v>27</v>
      </c>
      <c r="K7">
        <f>IF(N7=0,J7,IF(ISERROR(SEARCH(I7,'Armée Ennemie'!$A$7,(J7+LEN(M6)))),J7,SEARCH(I7,'Armée Ennemie'!$A$7,(J7+LEN(M6)))))</f>
        <v>27</v>
      </c>
      <c r="L7">
        <f>IFERROR(MID('Armée Ennemie'!$A$7,Data!J7+2+LEN(M6)-IF(M6=":",2,0),(Data!K7-Data!J7-3+IF(M6=":",2,0)-LEN(M6))),0)</f>
        <v>0</v>
      </c>
      <c r="M7" t="str">
        <f t="shared" si="0"/>
        <v>Jeunes Soldates</v>
      </c>
      <c r="N7">
        <f>IF(IFERROR(SEARCH(I7,'Armée Ennemie'!$A$7),0)=N8,0,IFERROR(SEARCH(I7,'Armée Ennemie'!$A$7),0))</f>
        <v>0</v>
      </c>
    </row>
    <row r="8" spans="1:14">
      <c r="A8" t="s">
        <v>20</v>
      </c>
      <c r="B8" t="str">
        <f t="shared" si="1"/>
        <v>Absence</v>
      </c>
      <c r="C8" t="str">
        <f t="shared" si="2"/>
        <v>Présence</v>
      </c>
      <c r="E8" t="s">
        <v>20</v>
      </c>
      <c r="F8" t="str">
        <f>IFERROR(SEARCH($E8,'Armée Ennemie'!$A$7,(LEN(E7)+F7)),F7)</f>
        <v>Absence</v>
      </c>
      <c r="G8">
        <f>IFERROR(SEARCH($E8,'Armée Ennemie'!$A$8,(LEN(E7)+G7)),G7)</f>
        <v>180</v>
      </c>
      <c r="I8" t="s">
        <v>20</v>
      </c>
      <c r="J8">
        <f t="shared" ref="J8:J15" si="3">K7</f>
        <v>27</v>
      </c>
      <c r="K8">
        <f>IF(ISERROR(SEARCH(I8,'Armée Ennemie'!$A$7,(J8+LEN(M7)))),J8,SEARCH(I8,'Armée Ennemie'!$A$7,(J8+LEN(M7))))</f>
        <v>27</v>
      </c>
      <c r="L8">
        <f>IFERROR(MID('Armée Ennemie'!$A$7,Data!J8+2+LEN(M7)-IF(M7=":",2,0),(Data!K8-Data!J8-3+IF(M7=":",2,0)-LEN(M7))),0)</f>
        <v>0</v>
      </c>
      <c r="M8" t="str">
        <f t="shared" si="0"/>
        <v>Jeunes Soldates</v>
      </c>
      <c r="N8">
        <f>IFERROR(SEARCH(I8,'Armée Ennemie'!$A$7),0)</f>
        <v>0</v>
      </c>
    </row>
    <row r="9" spans="1:14">
      <c r="A9" t="s">
        <v>13</v>
      </c>
      <c r="B9" t="str">
        <f t="shared" si="1"/>
        <v>Absence</v>
      </c>
      <c r="C9" t="str">
        <f t="shared" si="2"/>
        <v>Présence</v>
      </c>
      <c r="E9" t="s">
        <v>13</v>
      </c>
      <c r="F9" t="str">
        <f>IFERROR(SEARCH($E9,'Armée Ennemie'!$A$7,(LEN(E8)+F8)),F8)</f>
        <v>Absence</v>
      </c>
      <c r="G9">
        <f>IFERROR(SEARCH($E9,'Armée Ennemie'!$A$8,(LEN(E8)+G8)),G8)</f>
        <v>211</v>
      </c>
      <c r="I9" t="s">
        <v>13</v>
      </c>
      <c r="J9">
        <f t="shared" si="3"/>
        <v>27</v>
      </c>
      <c r="K9">
        <f>IF(N9=0,J9,IF(ISERROR(SEARCH(I9,'Armée Ennemie'!$A$7,(J9+LEN(M8)))),J9,SEARCH(I9,'Armée Ennemie'!$A$7,(J9+LEN(M8)))))</f>
        <v>27</v>
      </c>
      <c r="L9">
        <f>IFERROR(MID('Armée Ennemie'!$A$7,Data!J9+2+LEN(M8)-IF(M8=":",2,0),(Data!K9-Data!J9-3+IF(M8=":",2,0)-LEN(M8))),0)</f>
        <v>0</v>
      </c>
      <c r="M9" t="str">
        <f t="shared" si="0"/>
        <v>Jeunes Soldates</v>
      </c>
      <c r="N9">
        <f>IF(IFERROR(SEARCH(I9,'Armée Ennemie'!$A$7),0)=N10,0,IFERROR(SEARCH(I9,'Armée Ennemie'!$A$7),0))</f>
        <v>0</v>
      </c>
    </row>
    <row r="10" spans="1:14">
      <c r="A10" t="s">
        <v>14</v>
      </c>
      <c r="B10" t="str">
        <f t="shared" si="1"/>
        <v>Absence</v>
      </c>
      <c r="C10" t="str">
        <f t="shared" si="2"/>
        <v>Absence</v>
      </c>
      <c r="E10" t="s">
        <v>14</v>
      </c>
      <c r="F10" t="str">
        <f>IFERROR(SEARCH($E10,'Armée Ennemie'!$A$7,(LEN(E9)+F9)),F9)</f>
        <v>Absence</v>
      </c>
      <c r="G10">
        <f>IFERROR(SEARCH($E10,'Armée Ennemie'!$A$8,(LEN(E9)+G9)),G9)</f>
        <v>211</v>
      </c>
      <c r="I10" t="s">
        <v>14</v>
      </c>
      <c r="J10">
        <f t="shared" si="3"/>
        <v>27</v>
      </c>
      <c r="K10">
        <f>IF(ISERROR(SEARCH(I10,'Armée Ennemie'!$A$7,(J10+LEN(M9)))),J10,SEARCH(I10,'Armée Ennemie'!$A$7,(J10+LEN(M9))))</f>
        <v>27</v>
      </c>
      <c r="L10">
        <f>IFERROR(MID('Armée Ennemie'!$A$7,Data!J10+2+LEN(M9)-IF(M9=":",2,0),(Data!K10-Data!J10-3+IF(M9=":",2,0)-LEN(M9))),0)</f>
        <v>0</v>
      </c>
      <c r="M10" t="str">
        <f t="shared" si="0"/>
        <v>Jeunes Soldates</v>
      </c>
      <c r="N10">
        <f>IFERROR(SEARCH(I10,'Armée Ennemie'!$A$7),0)</f>
        <v>0</v>
      </c>
    </row>
    <row r="11" spans="1:14">
      <c r="A11" t="s">
        <v>15</v>
      </c>
      <c r="B11" t="str">
        <f t="shared" si="1"/>
        <v>Absence</v>
      </c>
      <c r="C11" t="str">
        <f t="shared" si="2"/>
        <v>Présence</v>
      </c>
      <c r="E11" t="s">
        <v>15</v>
      </c>
      <c r="F11" t="str">
        <f>IFERROR(SEARCH($E11,'Armée Ennemie'!$A$7,(LEN(E10)+F10)),F10)</f>
        <v>Absence</v>
      </c>
      <c r="G11">
        <f>IFERROR(SEARCH($E11,'Armée Ennemie'!$A$8,(LEN(E10)+G10)),G10)</f>
        <v>245</v>
      </c>
      <c r="I11" t="s">
        <v>15</v>
      </c>
      <c r="J11">
        <f t="shared" si="3"/>
        <v>27</v>
      </c>
      <c r="K11">
        <f>IF(ISERROR(SEARCH(I11,'Armée Ennemie'!$A$7,(J11+LEN(M10)))),J11,SEARCH(I11,'Armée Ennemie'!$A$7,(J11+LEN(M10))))</f>
        <v>27</v>
      </c>
      <c r="L11">
        <f>IFERROR(MID('Armée Ennemie'!$A$7,Data!J11+2+LEN(M10)-IF(M10=":",2,0),(Data!K11-Data!J11-3+IF(M10=":",2,0)-LEN(M10))),0)</f>
        <v>0</v>
      </c>
      <c r="M11" t="str">
        <f t="shared" si="0"/>
        <v>Jeunes Soldates</v>
      </c>
      <c r="N11">
        <f>IFERROR(SEARCH(I11,'Armée Ennemie'!$A$7),0)</f>
        <v>0</v>
      </c>
    </row>
    <row r="12" spans="1:14">
      <c r="A12" t="s">
        <v>16</v>
      </c>
      <c r="B12" t="str">
        <f t="shared" si="1"/>
        <v>Absence</v>
      </c>
      <c r="C12" t="str">
        <f t="shared" si="2"/>
        <v>Présence</v>
      </c>
      <c r="E12" t="s">
        <v>16</v>
      </c>
      <c r="F12" t="str">
        <f>IFERROR(SEARCH($E12,'Armée Ennemie'!$A$7,(LEN(E11)+F11)),F11)</f>
        <v>Absence</v>
      </c>
      <c r="G12">
        <f>IFERROR(SEARCH($E12,'Armée Ennemie'!$A$8,(LEN(E11)+G11)),G11)</f>
        <v>274</v>
      </c>
      <c r="I12" t="s">
        <v>16</v>
      </c>
      <c r="J12">
        <f t="shared" si="3"/>
        <v>27</v>
      </c>
      <c r="K12">
        <f>IF(N12=0,J12,IF(ISERROR(SEARCH(I12,'Armée Ennemie'!$A$7,(J12+LEN(M11)))),J12,SEARCH(I12,'Armée Ennemie'!$A$7,(J12+LEN(M11)))))</f>
        <v>27</v>
      </c>
      <c r="L12">
        <f>IFERROR(MID('Armée Ennemie'!$A$7,Data!J12+2+LEN(M11)-IF(M11=":",2,0),(Data!K12-Data!J12-3+IF(M11=":",2,0)-LEN(M11))),0)</f>
        <v>0</v>
      </c>
      <c r="M12" t="str">
        <f t="shared" si="0"/>
        <v>Jeunes Soldates</v>
      </c>
      <c r="N12">
        <f>IF(IFERROR(SEARCH(I12,'Armée Ennemie'!$A$7),0)=N13,0,IFERROR(SEARCH(I12,'Armée Ennemie'!$A$7),0))</f>
        <v>0</v>
      </c>
    </row>
    <row r="13" spans="1:14">
      <c r="A13" t="s">
        <v>17</v>
      </c>
      <c r="B13" t="str">
        <f t="shared" si="1"/>
        <v>Absence</v>
      </c>
      <c r="C13" t="str">
        <f t="shared" si="2"/>
        <v>Présence</v>
      </c>
      <c r="E13" t="s">
        <v>17</v>
      </c>
      <c r="F13" t="str">
        <f>IFERROR(SEARCH($E13,'Armée Ennemie'!$A$7,(LEN(E12)+F12)),F12)</f>
        <v>Absence</v>
      </c>
      <c r="G13">
        <f>IFERROR(SEARCH($E13,'Armée Ennemie'!$A$8,(LEN(E12)+G12)),G12)</f>
        <v>292</v>
      </c>
      <c r="I13" t="s">
        <v>17</v>
      </c>
      <c r="J13">
        <f t="shared" si="3"/>
        <v>27</v>
      </c>
      <c r="K13">
        <f>IF(ISERROR(SEARCH(I13,'Armée Ennemie'!$A$7,(J13+LEN(M12)))),J13,SEARCH(I13,'Armée Ennemie'!$A$7,(J13+LEN(M12))))</f>
        <v>27</v>
      </c>
      <c r="L13">
        <f>IFERROR(MID('Armée Ennemie'!$A$7,Data!J13+2+LEN(M12)-IF(M12=":",2,0),(Data!K13-Data!J13-3+IF(M12=":",2,0)-LEN(M12))),0)</f>
        <v>0</v>
      </c>
      <c r="M13" t="str">
        <f t="shared" si="0"/>
        <v>Jeunes Soldates</v>
      </c>
      <c r="N13">
        <f>IFERROR(SEARCH(I13,'Armée Ennemie'!$A$7),0)</f>
        <v>0</v>
      </c>
    </row>
    <row r="14" spans="1:14">
      <c r="A14" t="s">
        <v>18</v>
      </c>
      <c r="B14" t="str">
        <f t="shared" si="1"/>
        <v>Absence</v>
      </c>
      <c r="C14" t="str">
        <f t="shared" si="2"/>
        <v>Présence</v>
      </c>
      <c r="E14" t="s">
        <v>18</v>
      </c>
      <c r="F14" t="str">
        <f>IFERROR(SEARCH($E14,'Armée Ennemie'!$A$7,(LEN(E13)+F13)),F13)</f>
        <v>Absence</v>
      </c>
      <c r="G14">
        <f>IFERROR(SEARCH($E14,'Armée Ennemie'!$A$8,(LEN(E13)+G13)),G13)</f>
        <v>315</v>
      </c>
      <c r="I14" t="s">
        <v>18</v>
      </c>
      <c r="J14">
        <f t="shared" si="3"/>
        <v>27</v>
      </c>
      <c r="K14">
        <f>IF(N14=0,J14,IF(ISERROR(SEARCH(I14,'Armée Ennemie'!$A$7,(J14+LEN(M13)))),J14,SEARCH(I14,'Armée Ennemie'!$A$7,(J14+LEN(M13)))))</f>
        <v>27</v>
      </c>
      <c r="L14">
        <f>IFERROR(MID('Armée Ennemie'!$A$7,Data!J14+2+LEN(M13)-IF(M13=":",2,0),(Data!K14-Data!J14-3+IF(M13=":",2,0)-LEN(M13))),0)</f>
        <v>0</v>
      </c>
      <c r="M14" t="str">
        <f t="shared" si="0"/>
        <v>Jeunes Soldates</v>
      </c>
      <c r="N14">
        <f>IF(IFERROR(SEARCH(I14,'Armée Ennemie'!$A$7),0)=N15,0,IFERROR(SEARCH(I14,'Armée Ennemie'!$A$7),0))</f>
        <v>0</v>
      </c>
    </row>
    <row r="15" spans="1:14">
      <c r="A15" t="s">
        <v>19</v>
      </c>
      <c r="B15" t="str">
        <f t="shared" si="1"/>
        <v>Absence</v>
      </c>
      <c r="C15" t="str">
        <f t="shared" si="2"/>
        <v>Présence</v>
      </c>
      <c r="E15" t="s">
        <v>19</v>
      </c>
      <c r="F15" t="str">
        <f>IFERROR(SEARCH($E15,'Armée Ennemie'!$A$7,(LEN(E14)+F14)),F14)</f>
        <v>Absence</v>
      </c>
      <c r="G15">
        <f>IFERROR(SEARCH($E15,'Armée Ennemie'!$A$8,(LEN(E14)+G14)),G14)</f>
        <v>332</v>
      </c>
      <c r="I15" t="s">
        <v>19</v>
      </c>
      <c r="J15">
        <f t="shared" si="3"/>
        <v>27</v>
      </c>
      <c r="K15">
        <f>IF(ISERROR(SEARCH(I15,'Armée Ennemie'!$A$7,(J15+LEN(M14)))),J15,SEARCH(I15,'Armée Ennemie'!$A$7,(J15+LEN(M14))))</f>
        <v>27</v>
      </c>
      <c r="L15">
        <f>IFERROR(MID('Armée Ennemie'!$A$7,Data!J15+2+LEN(M14)-IF(M14=":",2,0),(Data!K15-Data!J15-3+IF(M14=":",2,0)-LEN(M14))),0)</f>
        <v>0</v>
      </c>
      <c r="M15" t="str">
        <f t="shared" si="0"/>
        <v>Jeunes Soldates</v>
      </c>
      <c r="N15">
        <f>IFERROR(SEARCH(I15,'Armée Ennemie'!$A$7),0)</f>
        <v>0</v>
      </c>
    </row>
    <row r="17" spans="1:18">
      <c r="A17" t="s">
        <v>40</v>
      </c>
      <c r="B17" t="s">
        <v>41</v>
      </c>
      <c r="C17" t="s">
        <v>39</v>
      </c>
    </row>
    <row r="18" spans="1:18">
      <c r="A18" s="1">
        <f>SEARCH(A17,'Armée Ennemie'!A10)</f>
        <v>23</v>
      </c>
      <c r="B18" s="1">
        <f>SEARCH(B17,'Armée Ennemie'!A10)</f>
        <v>31</v>
      </c>
      <c r="C18" t="str">
        <f>MID('Armée Ennemie'!A10,Data!A18+1,(Data!B18-Data!A18-1))</f>
        <v>210 000</v>
      </c>
      <c r="D18" t="s">
        <v>42</v>
      </c>
      <c r="H18" t="s">
        <v>6</v>
      </c>
      <c r="I18" t="s">
        <v>4</v>
      </c>
      <c r="J18" t="s">
        <v>23</v>
      </c>
      <c r="K18" t="s">
        <v>24</v>
      </c>
      <c r="L18" t="s">
        <v>25</v>
      </c>
      <c r="M18" t="s">
        <v>21</v>
      </c>
      <c r="N18" t="s">
        <v>22</v>
      </c>
    </row>
    <row r="19" spans="1:18">
      <c r="A19" t="s">
        <v>45</v>
      </c>
      <c r="B19" t="s">
        <v>44</v>
      </c>
      <c r="C19" t="s">
        <v>38</v>
      </c>
      <c r="I19" t="s">
        <v>7</v>
      </c>
      <c r="J19">
        <f>SEARCH(":",'Armée Ennemie'!A8)</f>
        <v>19</v>
      </c>
      <c r="K19">
        <f>IF(ISERROR(SEARCH(I19,'Armée Ennemie'!$A$8)),J19,SEARCH(I19,'Armée Ennemie'!$A$8))</f>
        <v>31</v>
      </c>
      <c r="L19" t="str">
        <f>IFERROR(MID('Armée Ennemie'!$A$8,Data!J19+1,(Data!K19-Data!J19-2)),0)</f>
        <v>41 848 753</v>
      </c>
      <c r="M19" t="str">
        <f>IF(L19&lt;&gt;0,I19,":")</f>
        <v>Jeunes Soldates Naines</v>
      </c>
      <c r="N19">
        <f>IFERROR(SEARCH(I19,'Armée Ennemie'!$A$8),0)</f>
        <v>31</v>
      </c>
      <c r="P19" t="str">
        <f>IF(M19=":",":",M19)</f>
        <v>Jeunes Soldates Naines</v>
      </c>
    </row>
    <row r="20" spans="1:18">
      <c r="A20" s="1">
        <f>LEN(A19)</f>
        <v>18</v>
      </c>
      <c r="B20" s="1">
        <f>SEARCH(B19,'Armée Ennemie'!A11)</f>
        <v>32</v>
      </c>
      <c r="C20" t="str">
        <f>MID('Armée Ennemie'!A11,Data!A20,(Data!B20-Data!A20))</f>
        <v xml:space="preserve"> 3 012 558 096</v>
      </c>
      <c r="I20" t="s">
        <v>8</v>
      </c>
      <c r="J20">
        <f>K19</f>
        <v>31</v>
      </c>
      <c r="K20">
        <f>IF(ISERROR(SEARCH(I20,'Armée Ennemie'!$A$8,(J20+LEN(M19)))),J20,SEARCH(I20,'Armée Ennemie'!$A$8,(J20+LEN(M19))))</f>
        <v>66</v>
      </c>
      <c r="L20" t="str">
        <f>IFERROR(MID('Armée Ennemie'!$A$8,Data!J20+2+LEN(M19)-IF(M19=":",2,0),(Data!K20-Data!J20-3+IF(M19=":",2,0)-LEN(M19))),0)</f>
        <v>10 425 997</v>
      </c>
      <c r="M20" t="str">
        <f t="shared" ref="M20:M32" si="4">IF(L20&lt;&gt;0,I20,M19)</f>
        <v>Soldates Naines</v>
      </c>
      <c r="N20">
        <f>IFERROR(SEARCH(I20,'Armée Ennemie'!$A$8),0)</f>
        <v>38</v>
      </c>
      <c r="P20" t="str">
        <f t="shared" ref="P20:P32" si="5">IF(M20=":",":",M20)</f>
        <v>Soldates Naines</v>
      </c>
      <c r="R20" t="str">
        <f>IF(L19=0,M20,I19)</f>
        <v>Jeunes Soldates Naines</v>
      </c>
    </row>
    <row r="21" spans="1:18">
      <c r="A21" s="1"/>
      <c r="C21" t="s">
        <v>39</v>
      </c>
      <c r="I21" t="s">
        <v>9</v>
      </c>
      <c r="J21">
        <f>K20</f>
        <v>66</v>
      </c>
      <c r="K21">
        <f>IF(ISERROR(SEARCH(I21,'Armée Ennemie'!$A$8,(J21+LEN(M20)))),J21,SEARCH(I21,'Armée Ennemie'!$A$8,(J21+LEN(M20))))</f>
        <v>94</v>
      </c>
      <c r="L21" t="str">
        <f>IFERROR(MID('Armée Ennemie'!$A$8,Data!J21+2+LEN(M20)-IF(M20=":",2,0),(Data!K21-Data!J21-3+IF(M20=":",2,0)-LEN(M20))),0)</f>
        <v>59 641 413</v>
      </c>
      <c r="M21" t="str">
        <f t="shared" si="4"/>
        <v>Naines d'Elites</v>
      </c>
      <c r="N21">
        <f>IFERROR(SEARCH(I21,'Armée Ennemie'!$A$8),0)</f>
        <v>94</v>
      </c>
      <c r="P21" t="str">
        <f t="shared" si="5"/>
        <v>Naines d'Elites</v>
      </c>
      <c r="R21" t="str">
        <f>IF(VLOOKUP(R20,$I$19:$L$32,4,FALSE)=0,M21,$I$19)</f>
        <v>Jeunes Soldates Naines</v>
      </c>
    </row>
    <row r="22" spans="1:18">
      <c r="A22" s="1">
        <f>SEARCH(A17,'Armée Ennemie'!A11)</f>
        <v>34</v>
      </c>
      <c r="B22" s="1">
        <f>SEARCH(B17,'Armée Ennemie'!A11)</f>
        <v>49</v>
      </c>
      <c r="C22" t="str">
        <f>MID('Armée Ennemie'!A11,Data!A22+1,(Data!B22-Data!A22-1))</f>
        <v xml:space="preserve">6 326 372 002 </v>
      </c>
      <c r="D22" t="s">
        <v>43</v>
      </c>
      <c r="I22" t="s">
        <v>10</v>
      </c>
      <c r="J22">
        <f>K21</f>
        <v>94</v>
      </c>
      <c r="K22">
        <f>IF(ISERROR(SEARCH(I22,'Armée Ennemie'!$A$8,(J22+LEN(M21)))),J22,SEARCH(I22,'Armée Ennemie'!$A$8,(J22+LEN(M21))))</f>
        <v>121</v>
      </c>
      <c r="L22" t="str">
        <f>IFERROR(MID('Armée Ennemie'!$A$8,Data!J22+2+LEN(M21)-IF(M21=":",2,0),(Data!K22-Data!J22-3+IF(M21=":",2,0)-LEN(M21))),0)</f>
        <v>1 830 811</v>
      </c>
      <c r="M22" t="str">
        <f t="shared" si="4"/>
        <v>Jeunes Soldates</v>
      </c>
      <c r="N22">
        <f>IFERROR(SEARCH(I22,'Armée Ennemie'!$A$8),0)</f>
        <v>31</v>
      </c>
      <c r="P22" t="str">
        <f t="shared" si="5"/>
        <v>Jeunes Soldates</v>
      </c>
      <c r="R22" t="str">
        <f t="shared" ref="R22:R32" si="6">IF(VLOOKUP(R21,$I$19:$L$32,4,FALSE)=0,M22,$I$19)</f>
        <v>Jeunes Soldates Naines</v>
      </c>
    </row>
    <row r="23" spans="1:18">
      <c r="I23" t="s">
        <v>11</v>
      </c>
      <c r="J23">
        <f>K22</f>
        <v>121</v>
      </c>
      <c r="K23">
        <f>IF(N23=0,J23,IF(ISERROR(SEARCH(I23,'Armée Ennemie'!$A$8,(J23+LEN(M22)))),J23,SEARCH(I23,'Armée Ennemie'!$A$8,(J23+LEN(M22)))))</f>
        <v>148</v>
      </c>
      <c r="L23" t="str">
        <f>IFERROR(MID('Armée Ennemie'!$A$8,Data!J23+2+LEN(M22)-IF(M22=":",2,0),(Data!K23-Data!J23-3+IF(M22=":",2,0)-LEN(M22))),0)</f>
        <v>4 915 866</v>
      </c>
      <c r="M23" t="str">
        <f t="shared" si="4"/>
        <v>Soldates</v>
      </c>
      <c r="N23">
        <f>IF(IFERROR(SEARCH(I23,'Armée Ennemie'!$A$8),0)=N28,0,IFERROR(SEARCH(I23,'Armée Ennemie'!$A$8),0))</f>
        <v>38</v>
      </c>
      <c r="P23" t="str">
        <f t="shared" si="5"/>
        <v>Soldates</v>
      </c>
      <c r="R23" t="str">
        <f t="shared" si="6"/>
        <v>Jeunes Soldates Naines</v>
      </c>
    </row>
    <row r="24" spans="1:18">
      <c r="B24" t="s">
        <v>46</v>
      </c>
      <c r="C24">
        <f>ROUND(C22/C20,1)*10</f>
        <v>21</v>
      </c>
      <c r="I24" t="s">
        <v>12</v>
      </c>
      <c r="J24">
        <f>K23</f>
        <v>148</v>
      </c>
      <c r="K24">
        <f>IF(N24=0,J24,IF(ISERROR(SEARCH(I24,'Armée Ennemie'!$A$8,(J24+LEN(M23)))),J24,SEARCH(I24,'Armée Ennemie'!$A$8,(J24+LEN(M23)))))</f>
        <v>165</v>
      </c>
      <c r="L24" t="str">
        <f>IFERROR(MID('Armée Ennemie'!$A$8,Data!J24+2+LEN(M23)-IF(M23=":",2,0),(Data!K24-Data!J24-3+IF(M23=":",2,0)-LEN(M23))),0)</f>
        <v>29 931</v>
      </c>
      <c r="M24" t="str">
        <f t="shared" si="4"/>
        <v>Concierges</v>
      </c>
      <c r="N24">
        <f>IF(IFERROR(SEARCH(I24,'Armée Ennemie'!$A$8),0)=N25,0,IFERROR(SEARCH(I24,'Armée Ennemie'!$A$8),0))</f>
        <v>165</v>
      </c>
      <c r="P24" t="str">
        <f t="shared" si="5"/>
        <v>Concierges</v>
      </c>
      <c r="R24" t="str">
        <f t="shared" si="6"/>
        <v>Jeunes Soldates Naines</v>
      </c>
    </row>
    <row r="25" spans="1:18">
      <c r="I25" t="s">
        <v>20</v>
      </c>
      <c r="J25">
        <f t="shared" ref="J25:J32" si="7">K24</f>
        <v>165</v>
      </c>
      <c r="K25">
        <f>IF(ISERROR(SEARCH(I25,'Armée Ennemie'!$A$8,(J25+LEN(M24)))),J25,SEARCH(I25,'Armée Ennemie'!$A$8,(J25+LEN(M24))))</f>
        <v>180</v>
      </c>
      <c r="L25" t="str">
        <f>IFERROR(MID('Armée Ennemie'!$A$8,Data!J25+2+LEN(M24)-IF(M24=":",2,0),(Data!K25-Data!J25-3+IF(M24=":",2,0)-LEN(M24))),0)</f>
        <v>69</v>
      </c>
      <c r="M25" t="str">
        <f t="shared" si="4"/>
        <v>Concierges d'élites</v>
      </c>
      <c r="N25">
        <f>IFERROR(SEARCH(I25,'Armée Ennemie'!$A$8),0)</f>
        <v>180</v>
      </c>
      <c r="P25" t="str">
        <f t="shared" si="5"/>
        <v>Concierges d'élites</v>
      </c>
      <c r="R25" t="str">
        <f t="shared" si="6"/>
        <v>Jeunes Soldates Naines</v>
      </c>
    </row>
    <row r="26" spans="1:18">
      <c r="I26" t="s">
        <v>13</v>
      </c>
      <c r="J26">
        <f t="shared" si="7"/>
        <v>180</v>
      </c>
      <c r="K26">
        <f>IF(N26=0,J26,IF(ISERROR(SEARCH(I26,'Armée Ennemie'!$A$8,(J26+LEN(M25)))),J26,SEARCH(I26,'Armée Ennemie'!$A$8,(J26+LEN(M25)))))</f>
        <v>180</v>
      </c>
      <c r="L26">
        <f>IFERROR(MID('Armée Ennemie'!$A$8,Data!J26+2+LEN(M25)-IF(M25=":",2,0),(Data!K26-Data!J26-3+IF(M25=":",2,0)-LEN(M25))),0)</f>
        <v>0</v>
      </c>
      <c r="M26" t="str">
        <f t="shared" si="4"/>
        <v>Concierges d'élites</v>
      </c>
      <c r="N26">
        <f>IF(IFERROR(SEARCH(I26,'Armée Ennemie'!$A$8),0)=N27,0,IFERROR(SEARCH(I26,'Armée Ennemie'!$A$8),0))</f>
        <v>0</v>
      </c>
      <c r="P26" t="str">
        <f t="shared" si="5"/>
        <v>Concierges d'élites</v>
      </c>
      <c r="R26" t="str">
        <f t="shared" si="6"/>
        <v>Jeunes Soldates Naines</v>
      </c>
    </row>
    <row r="27" spans="1:18">
      <c r="I27" t="s">
        <v>14</v>
      </c>
      <c r="J27">
        <f t="shared" si="7"/>
        <v>180</v>
      </c>
      <c r="K27">
        <f>IF(ISERROR(SEARCH(I27,'Armée Ennemie'!$A$8,(J27+LEN(M26)))),J27,SEARCH(I27,'Armée Ennemie'!$A$8,(J27+LEN(M26))))</f>
        <v>211</v>
      </c>
      <c r="L27" t="str">
        <f>IFERROR(MID('Armée Ennemie'!$A$8,Data!J27+2+LEN(M26)-IF(M26=":",2,0),(Data!K27-Data!J27-3+IF(M26=":",2,0)-LEN(M26))),0)</f>
        <v>2 206 299</v>
      </c>
      <c r="M27" t="str">
        <f t="shared" si="4"/>
        <v>Artilleuses d'élites</v>
      </c>
      <c r="N27">
        <f>IFERROR(SEARCH(I27,'Armée Ennemie'!$A$8),0)</f>
        <v>211</v>
      </c>
      <c r="P27" t="str">
        <f t="shared" si="5"/>
        <v>Artilleuses d'élites</v>
      </c>
      <c r="R27" t="str">
        <f t="shared" si="6"/>
        <v>Jeunes Soldates Naines</v>
      </c>
    </row>
    <row r="28" spans="1:18">
      <c r="I28" t="s">
        <v>15</v>
      </c>
      <c r="J28">
        <f t="shared" si="7"/>
        <v>211</v>
      </c>
      <c r="K28">
        <f>IF(ISERROR(SEARCH(I28,'Armée Ennemie'!$A$8,(J28+LEN(M27)))),J28,SEARCH(I28,'Armée Ennemie'!$A$8,(J28+LEN(M27))))</f>
        <v>245</v>
      </c>
      <c r="L28" t="str">
        <f>IFERROR(MID('Armée Ennemie'!$A$8,Data!J28+2+LEN(M27)-IF(M27=":",2,0),(Data!K28-Data!J28-3+IF(M27=":",2,0)-LEN(M27))),0)</f>
        <v>101 325 583</v>
      </c>
      <c r="M28" t="str">
        <f t="shared" si="4"/>
        <v>Soldates d'élites</v>
      </c>
      <c r="N28">
        <f>IFERROR(SEARCH(I28,'Armée Ennemie'!$A$8),0)</f>
        <v>245</v>
      </c>
      <c r="P28" t="str">
        <f t="shared" si="5"/>
        <v>Soldates d'élites</v>
      </c>
      <c r="R28" t="str">
        <f t="shared" si="6"/>
        <v>Jeunes Soldates Naines</v>
      </c>
    </row>
    <row r="29" spans="1:18">
      <c r="I29" t="s">
        <v>16</v>
      </c>
      <c r="J29">
        <f t="shared" si="7"/>
        <v>245</v>
      </c>
      <c r="K29">
        <f>IF(N29=0,J29,IF(ISERROR(SEARCH(I29,'Armée Ennemie'!$A$8,(J29+LEN(M28)))),J29,SEARCH(I29,'Armée Ennemie'!$A$8,(J29+LEN(M28)))))</f>
        <v>274</v>
      </c>
      <c r="L29" t="str">
        <f>IFERROR(MID('Armée Ennemie'!$A$8,Data!J29+2+LEN(M28)-IF(M28=":",2,0),(Data!K29-Data!J29-3+IF(M28=":",2,0)-LEN(M28))),0)</f>
        <v>1 819 705</v>
      </c>
      <c r="M29" t="str">
        <f t="shared" si="4"/>
        <v>Tanks</v>
      </c>
      <c r="N29">
        <f>IF(IFERROR(SEARCH(I29,'Armée Ennemie'!$A$8),0)=N30,0,IFERROR(SEARCH(I29,'Armée Ennemie'!$A$8),0))</f>
        <v>274</v>
      </c>
      <c r="P29" t="str">
        <f t="shared" si="5"/>
        <v>Tanks</v>
      </c>
      <c r="R29" t="str">
        <f t="shared" si="6"/>
        <v>Jeunes Soldates Naines</v>
      </c>
    </row>
    <row r="30" spans="1:18">
      <c r="I30" t="s">
        <v>17</v>
      </c>
      <c r="J30">
        <f t="shared" si="7"/>
        <v>274</v>
      </c>
      <c r="K30">
        <f>IF(ISERROR(SEARCH(I30,'Armée Ennemie'!$A$8,(J30+LEN(M29)))),J30,SEARCH(I30,'Armée Ennemie'!$A$8,(J30+LEN(M29))))</f>
        <v>292</v>
      </c>
      <c r="L30" t="str">
        <f>IFERROR(MID('Armée Ennemie'!$A$8,Data!J30+2+LEN(M29)-IF(M29=":",2,0),(Data!K30-Data!J30-3+IF(M29=":",2,0)-LEN(M29))),0)</f>
        <v>45 074 845</v>
      </c>
      <c r="M30" t="str">
        <f t="shared" si="4"/>
        <v>Tanks d'élites</v>
      </c>
      <c r="N30">
        <f>IFERROR(SEARCH(I30,'Armée Ennemie'!$A$8),0)</f>
        <v>292</v>
      </c>
      <c r="P30" t="str">
        <f t="shared" si="5"/>
        <v>Tanks d'élites</v>
      </c>
      <c r="R30" t="str">
        <f t="shared" si="6"/>
        <v>Jeunes Soldates Naines</v>
      </c>
    </row>
    <row r="31" spans="1:18">
      <c r="I31" t="s">
        <v>18</v>
      </c>
      <c r="J31">
        <f t="shared" si="7"/>
        <v>292</v>
      </c>
      <c r="K31">
        <f>IF(N31=0,J31,IF(ISERROR(SEARCH(I31,'Armée Ennemie'!$A$8,(J31+LEN(M30)))),J31,SEARCH(I31,'Armée Ennemie'!$A$8,(J31+LEN(M30)))))</f>
        <v>315</v>
      </c>
      <c r="L31" t="str">
        <f>IFERROR(MID('Armée Ennemie'!$A$8,Data!J31+2+LEN(M30)-IF(M30=":",2,0),(Data!K31-Data!J31-3+IF(M30=":",2,0)-LEN(M30))),0)</f>
        <v>11 542</v>
      </c>
      <c r="M31" t="str">
        <f t="shared" si="4"/>
        <v>Tueuses</v>
      </c>
      <c r="N31">
        <f>IF(IFERROR(SEARCH(I31,'Armée Ennemie'!$A$8),0)=N32,0,IFERROR(SEARCH(I31,'Armée Ennemie'!$A$8),0))</f>
        <v>315</v>
      </c>
      <c r="P31" t="str">
        <f t="shared" si="5"/>
        <v>Tueuses</v>
      </c>
      <c r="R31" t="str">
        <f t="shared" si="6"/>
        <v>Jeunes Soldates Naines</v>
      </c>
    </row>
    <row r="32" spans="1:18">
      <c r="I32" t="s">
        <v>19</v>
      </c>
      <c r="J32">
        <f t="shared" si="7"/>
        <v>315</v>
      </c>
      <c r="K32">
        <f>IF(ISERROR(SEARCH(I32,'Armée Ennemie'!$A$8,(J32+LEN(M31)))),J32,SEARCH(I32,'Armée Ennemie'!$A$8,(J32+LEN(M31))))</f>
        <v>332</v>
      </c>
      <c r="L32" t="str">
        <f>IFERROR(MID('Armée Ennemie'!$A$8,Data!J32+2+LEN(M31)-IF(M31=":",2,0),(Data!K32-Data!J32-3+IF(M31=":",2,0)-LEN(M31))),0)</f>
        <v>465 174</v>
      </c>
      <c r="M32" t="str">
        <f t="shared" si="4"/>
        <v>Tueuses d'élites</v>
      </c>
      <c r="N32">
        <f>IFERROR(SEARCH(I32,'Armée Ennemie'!$A$8),0)</f>
        <v>332</v>
      </c>
      <c r="P32" t="str">
        <f t="shared" si="5"/>
        <v>Tueuses d'élites</v>
      </c>
      <c r="R32" t="str">
        <f t="shared" si="6"/>
        <v>Jeunes Soldates Naines</v>
      </c>
    </row>
    <row r="35" spans="7:18">
      <c r="G35" t="s">
        <v>58</v>
      </c>
      <c r="H35" t="s">
        <v>5</v>
      </c>
      <c r="I35" t="s">
        <v>4</v>
      </c>
      <c r="J35" t="s">
        <v>23</v>
      </c>
      <c r="K35" t="s">
        <v>24</v>
      </c>
      <c r="L35" t="s">
        <v>25</v>
      </c>
      <c r="M35" t="s">
        <v>21</v>
      </c>
      <c r="N35" t="s">
        <v>22</v>
      </c>
    </row>
    <row r="36" spans="7:18">
      <c r="I36" t="s">
        <v>7</v>
      </c>
      <c r="J36">
        <f>SEARCH(":",'Mon armée'!A7)</f>
        <v>19</v>
      </c>
      <c r="K36">
        <f>IF(ISERROR(SEARCH(I36,'Mon armée'!A$7)),J36,SEARCH(I36,'Mon armée'!A$7))</f>
        <v>32</v>
      </c>
      <c r="L36" t="str">
        <f>IFERROR(MID('Mon armée'!A$7,Data!J36+1,(Data!K36-Data!J36-2)),0)</f>
        <v>139 376 233</v>
      </c>
      <c r="M36" t="str">
        <f>IF(L36&lt;&gt;0,I36,":")</f>
        <v>Jeunes Soldates Naines</v>
      </c>
      <c r="N36">
        <f>IFERROR(SEARCH(I36,'Mon armée'!A$7),0)</f>
        <v>32</v>
      </c>
      <c r="P36" t="str">
        <f>IF(M36=":",":",M36)</f>
        <v>Jeunes Soldates Naines</v>
      </c>
    </row>
    <row r="37" spans="7:18">
      <c r="I37" t="s">
        <v>8</v>
      </c>
      <c r="J37">
        <f>K36</f>
        <v>32</v>
      </c>
      <c r="K37">
        <f>IF(ISERROR(SEARCH(I37,'Mon armée'!A$7,(J37+LEN(M36)))),J37,SEARCH(I37,'Mon armée'!A$7,(J37+LEN(M36))))</f>
        <v>67</v>
      </c>
      <c r="L37" t="str">
        <f>IFERROR(MID('Mon armée'!A$7,Data!J37+2+LEN(M36)-IF(M36=":",2,0),(Data!K37-Data!J37-3+IF(M36=":",2,0)-LEN(M36))),0)</f>
        <v>12 276 358</v>
      </c>
      <c r="M37" t="str">
        <f t="shared" ref="M37:M49" si="8">IF(L37&lt;&gt;0,I37,M36)</f>
        <v>Soldates Naines</v>
      </c>
      <c r="N37">
        <f>IFERROR(SEARCH(I37,'Mon armée'!A$7),0)</f>
        <v>39</v>
      </c>
      <c r="P37" t="str">
        <f t="shared" ref="P37:P49" si="9">IF(M37=":",":",M37)</f>
        <v>Soldates Naines</v>
      </c>
      <c r="R37" t="str">
        <f>IF(L36=0,M37,I36)</f>
        <v>Jeunes Soldates Naines</v>
      </c>
    </row>
    <row r="38" spans="7:18">
      <c r="I38" t="s">
        <v>9</v>
      </c>
      <c r="J38">
        <f>K37</f>
        <v>67</v>
      </c>
      <c r="K38">
        <f>IF(ISERROR(SEARCH(I38,'Mon armée'!A$7,(J38+LEN(M37)))),J38,SEARCH(I38,'Mon armée'!A$7,(J38+LEN(M37))))</f>
        <v>94</v>
      </c>
      <c r="L38" t="str">
        <f>IFERROR(MID('Mon armée'!A$7,Data!J38+2+LEN(M37)-IF(M37=":",2,0),(Data!K38-Data!J38-3+IF(M37=":",2,0)-LEN(M37))),0)</f>
        <v>3 180 604</v>
      </c>
      <c r="M38" t="str">
        <f t="shared" si="8"/>
        <v>Naines d'Elites</v>
      </c>
      <c r="N38">
        <f>IFERROR(SEARCH(I38,'Mon armée'!A$7),0)</f>
        <v>94</v>
      </c>
      <c r="P38" t="str">
        <f t="shared" si="9"/>
        <v>Naines d'Elites</v>
      </c>
      <c r="R38" t="str">
        <f>IF(VLOOKUP(R37,$I$36:$L$49,4,FALSE)=0,M38,$I$36)</f>
        <v>Jeunes Soldates Naines</v>
      </c>
    </row>
    <row r="39" spans="7:18">
      <c r="I39" t="s">
        <v>10</v>
      </c>
      <c r="J39">
        <f>K38</f>
        <v>94</v>
      </c>
      <c r="K39">
        <f>IF(ISERROR(SEARCH(I39,'Mon armée'!A$7,(J39+LEN(M38)))),J39,SEARCH(I39,'Mon armée'!A$7,(J39+LEN(M38))))</f>
        <v>125</v>
      </c>
      <c r="L39" t="str">
        <f>IFERROR(MID('Mon armée'!A$7,Data!J39+2+LEN(M38)-IF(M38=":",2,0),(Data!K39-Data!J39-3+IF(M38=":",2,0)-LEN(M38))),0)</f>
        <v>1 197 759 569</v>
      </c>
      <c r="M39" t="str">
        <f t="shared" si="8"/>
        <v>Jeunes Soldates</v>
      </c>
      <c r="N39">
        <f>IFERROR(SEARCH(I39,'Mon armée'!A$7),0)</f>
        <v>32</v>
      </c>
      <c r="P39" t="str">
        <f t="shared" si="9"/>
        <v>Jeunes Soldates</v>
      </c>
      <c r="R39" t="str">
        <f t="shared" ref="R39:R49" si="10">IF(VLOOKUP(R38,$I$36:$L$49,4,FALSE)=0,M39,$I$36)</f>
        <v>Jeunes Soldates Naines</v>
      </c>
    </row>
    <row r="40" spans="7:18">
      <c r="I40" t="s">
        <v>11</v>
      </c>
      <c r="J40">
        <f>K39</f>
        <v>125</v>
      </c>
      <c r="K40">
        <f>IF(N40=0,J40,IF(ISERROR(SEARCH(I40,'Mon armée'!A$7,(J40+LEN(M39)))),J40,SEARCH(I40,'Mon armée'!A$7,(J40+LEN(M39)))))</f>
        <v>153</v>
      </c>
      <c r="L40" t="str">
        <f>IFERROR(MID('Mon armée'!A$7,Data!J40+2+LEN(M39)-IF(M39=":",2,0),(Data!K40-Data!J40-3+IF(M39=":",2,0)-LEN(M39))),0)</f>
        <v>15 426 452</v>
      </c>
      <c r="M40" t="str">
        <f t="shared" si="8"/>
        <v>Soldates</v>
      </c>
      <c r="N40">
        <f>IF(IFERROR(SEARCH(I40,'Mon armée'!A$7),0)=N45,0,IFERROR(SEARCH(I40,'Mon armée'!A$7),0))</f>
        <v>39</v>
      </c>
      <c r="P40" t="str">
        <f t="shared" si="9"/>
        <v>Soldates</v>
      </c>
      <c r="R40" t="str">
        <f t="shared" si="10"/>
        <v>Jeunes Soldates Naines</v>
      </c>
    </row>
    <row r="41" spans="7:18">
      <c r="I41" t="s">
        <v>12</v>
      </c>
      <c r="J41">
        <f>K40</f>
        <v>153</v>
      </c>
      <c r="K41">
        <f>IF(N41=0,J41,IF(ISERROR(SEARCH(I41,'Mon armée'!A$7,(J41+LEN(M40)))),J41,SEARCH(I41,'Mon armée'!A$7,(J41+LEN(M40)))))</f>
        <v>153</v>
      </c>
      <c r="L41">
        <f>IFERROR(MID('Mon armée'!A$7,Data!J41+2+LEN(M40)-IF(M40=":",2,0),(Data!K41-Data!J41-3+IF(M40=":",2,0)-LEN(M40))),0)</f>
        <v>0</v>
      </c>
      <c r="M41" t="str">
        <f t="shared" si="8"/>
        <v>Soldates</v>
      </c>
      <c r="N41">
        <f>IF(IFERROR(SEARCH(I41,'Mon armée'!A$7),0)=N46,0,IFERROR(SEARCH(I41,'Mon armée'!A$7),0))</f>
        <v>0</v>
      </c>
      <c r="P41" t="str">
        <f t="shared" si="9"/>
        <v>Soldates</v>
      </c>
      <c r="R41" t="str">
        <f t="shared" si="10"/>
        <v>Jeunes Soldates Naines</v>
      </c>
    </row>
    <row r="42" spans="7:18">
      <c r="I42" t="s">
        <v>20</v>
      </c>
      <c r="J42">
        <f t="shared" ref="J42:J49" si="11">K41</f>
        <v>153</v>
      </c>
      <c r="K42">
        <f>IF(ISERROR(SEARCH(I42,'Mon armée'!A$7,(J42+LEN(M41)))),J42,SEARCH(I42,'Mon armée'!A$7,(J42+LEN(M41))))</f>
        <v>153</v>
      </c>
      <c r="L42">
        <f>IFERROR(MID('Mon armée'!A$7,Data!J42+2+LEN(M41)-IF(M41=":",2,0),(Data!K42-Data!J42-3+IF(M41=":",2,0)-LEN(M41))),0)</f>
        <v>0</v>
      </c>
      <c r="M42" t="str">
        <f t="shared" si="8"/>
        <v>Soldates</v>
      </c>
      <c r="N42">
        <f>IFERROR(SEARCH(I42,'Mon armée'!A$7),0)</f>
        <v>0</v>
      </c>
      <c r="P42" t="str">
        <f t="shared" si="9"/>
        <v>Soldates</v>
      </c>
      <c r="R42" t="str">
        <f t="shared" si="10"/>
        <v>Jeunes Soldates Naines</v>
      </c>
    </row>
    <row r="43" spans="7:18">
      <c r="I43" t="s">
        <v>13</v>
      </c>
      <c r="J43">
        <f t="shared" si="11"/>
        <v>153</v>
      </c>
      <c r="K43">
        <f>IF(N43=0,J43,IF(ISERROR(SEARCH(I43,'Mon armée'!A$7,(J43+LEN(M42)))),J43,SEARCH(I43,'Mon armée'!A$7,(J43+LEN(M42)))))</f>
        <v>170</v>
      </c>
      <c r="L43" t="str">
        <f>IFERROR(MID('Mon armée'!A$7,Data!J43+2+LEN(M42)-IF(M42=":",2,0),(Data!K43-Data!J43-3+IF(M42=":",2,0)-LEN(M42))),0)</f>
        <v>43 964</v>
      </c>
      <c r="M43" t="str">
        <f t="shared" si="8"/>
        <v>Artilleuses</v>
      </c>
      <c r="N43">
        <f>IF(IFERROR(SEARCH(I43,'Armée Ennemie'!$A$8),0)=N44,0,IFERROR(SEARCH(I43,'Armée Ennemie'!$A$8),0))</f>
        <v>211</v>
      </c>
      <c r="P43" t="str">
        <f t="shared" si="9"/>
        <v>Artilleuses</v>
      </c>
      <c r="R43" t="str">
        <f t="shared" si="10"/>
        <v>Jeunes Soldates Naines</v>
      </c>
    </row>
    <row r="44" spans="7:18">
      <c r="I44" t="s">
        <v>14</v>
      </c>
      <c r="J44">
        <f t="shared" si="11"/>
        <v>170</v>
      </c>
      <c r="K44">
        <f>IF(ISERROR(SEARCH(I44,'Mon armée'!A$7,(J44+LEN(M43)))),J44,SEARCH(I44,'Mon armée'!A$7,(J44+LEN(M43))))</f>
        <v>193</v>
      </c>
      <c r="L44" t="str">
        <f>IFERROR(MID('Mon armée'!A$7,Data!J44+2+LEN(M43)-IF(M43=":",2,0),(Data!K44-Data!J44-3+IF(M43=":",2,0)-LEN(M43))),0)</f>
        <v>4 210 641</v>
      </c>
      <c r="M44" t="str">
        <f t="shared" si="8"/>
        <v>Artilleuses d'élites</v>
      </c>
      <c r="N44">
        <f>IFERROR(SEARCH(I44,'Mon armée'!A$7),0)</f>
        <v>193</v>
      </c>
      <c r="P44" t="str">
        <f t="shared" si="9"/>
        <v>Artilleuses d'élites</v>
      </c>
      <c r="R44" t="str">
        <f t="shared" si="10"/>
        <v>Jeunes Soldates Naines</v>
      </c>
    </row>
    <row r="45" spans="7:18">
      <c r="I45" t="s">
        <v>15</v>
      </c>
      <c r="J45">
        <f t="shared" si="11"/>
        <v>193</v>
      </c>
      <c r="K45">
        <f>IF(ISERROR(SEARCH(I45,'Mon armée'!A$7,(J45+LEN(M44)))),J45,SEARCH(I45,'Mon armée'!A$7,(J45+LEN(M44))))</f>
        <v>226</v>
      </c>
      <c r="L45" t="str">
        <f>IFERROR(MID('Mon armée'!A$7,Data!J45+2+LEN(M44)-IF(M44=":",2,0),(Data!K45-Data!J45-3+IF(M44=":",2,0)-LEN(M44))),0)</f>
        <v>28 306 378</v>
      </c>
      <c r="M45" t="str">
        <f t="shared" si="8"/>
        <v>Soldates d'élites</v>
      </c>
      <c r="N45">
        <f>IFERROR(SEARCH(I45,'Mon armée'!A$7),0)</f>
        <v>226</v>
      </c>
      <c r="P45" t="str">
        <f t="shared" si="9"/>
        <v>Soldates d'élites</v>
      </c>
      <c r="R45" t="str">
        <f t="shared" si="10"/>
        <v>Jeunes Soldates Naines</v>
      </c>
    </row>
    <row r="46" spans="7:18">
      <c r="I46" t="s">
        <v>16</v>
      </c>
      <c r="J46">
        <f t="shared" si="11"/>
        <v>226</v>
      </c>
      <c r="K46">
        <f>IF(N46=0,J46,IF(ISERROR(SEARCH(I46,'Mon armée'!A$7,(J46+LEN(M45)))),J46,SEARCH(I46,'Mon armée'!A$7,(J46+LEN(M45)))))</f>
        <v>257</v>
      </c>
      <c r="L46" t="str">
        <f>IFERROR(MID('Mon armée'!A$7,Data!J46+2+LEN(M45)-IF(M45=":",2,0),(Data!K46-Data!J46-3+IF(M45=":",2,0)-LEN(M45))),0)</f>
        <v>306 794 632</v>
      </c>
      <c r="M46" t="str">
        <f t="shared" si="8"/>
        <v>Tanks</v>
      </c>
      <c r="N46">
        <f>IF(IFERROR(SEARCH(I46,'Mon armée'!A$7),0)=N51,0,IFERROR(SEARCH(I46,'Mon armée'!A$7),0))</f>
        <v>257</v>
      </c>
      <c r="P46" t="str">
        <f t="shared" si="9"/>
        <v>Tanks</v>
      </c>
      <c r="R46" t="str">
        <f t="shared" si="10"/>
        <v>Jeunes Soldates Naines</v>
      </c>
    </row>
    <row r="47" spans="7:18">
      <c r="I47" t="s">
        <v>17</v>
      </c>
      <c r="J47">
        <f t="shared" si="11"/>
        <v>257</v>
      </c>
      <c r="K47">
        <f>IF(ISERROR(SEARCH(I47,'Mon armée'!A$7,(J47+LEN(M46)))),J47,SEARCH(I47,'Mon armée'!A$7,(J47+LEN(M46))))</f>
        <v>274</v>
      </c>
      <c r="L47" t="str">
        <f>IFERROR(MID('Mon armée'!A$7,Data!J47+2+LEN(M46)-IF(M46=":",2,0),(Data!K47-Data!J47-3+IF(M46=":",2,0)-LEN(M46))),0)</f>
        <v>7 959 787</v>
      </c>
      <c r="M47" t="str">
        <f t="shared" si="8"/>
        <v>Tanks d'élites</v>
      </c>
      <c r="N47">
        <f>IFERROR(SEARCH(I47,'Mon armée'!A$7),0)</f>
        <v>274</v>
      </c>
      <c r="P47" t="str">
        <f t="shared" si="9"/>
        <v>Tanks d'élites</v>
      </c>
      <c r="R47" t="str">
        <f t="shared" si="10"/>
        <v>Jeunes Soldates Naines</v>
      </c>
    </row>
    <row r="48" spans="7:18">
      <c r="I48" t="s">
        <v>18</v>
      </c>
      <c r="J48">
        <f t="shared" si="11"/>
        <v>274</v>
      </c>
      <c r="K48">
        <f>IF(N48=0,J48,IF(ISERROR(SEARCH(I48,'Mon armée'!A$7,(J48+LEN(M47)))),J48,SEARCH(I48,'Mon armée'!A$7,(J48+LEN(M47)))))</f>
        <v>292</v>
      </c>
      <c r="L48" t="str">
        <f>IFERROR(MID('Mon armée'!A$7,Data!J48+2+LEN(M47)-IF(M47=":",2,0),(Data!K48-Data!J48-3+IF(M47=":",2,0)-LEN(M47))),0)</f>
        <v>2</v>
      </c>
      <c r="M48" t="str">
        <f t="shared" si="8"/>
        <v>Tueuses</v>
      </c>
      <c r="N48">
        <f>IF(IFERROR(SEARCH(I48,'Mon armée'!A$7),0)=N53,0,IFERROR(SEARCH(I48,'Mon armée'!A$7),0))</f>
        <v>292</v>
      </c>
      <c r="P48" t="str">
        <f t="shared" si="9"/>
        <v>Tueuses</v>
      </c>
      <c r="R48" t="str">
        <f t="shared" si="10"/>
        <v>Jeunes Soldates Naines</v>
      </c>
    </row>
    <row r="49" spans="7:18">
      <c r="I49" t="s">
        <v>19</v>
      </c>
      <c r="J49">
        <f t="shared" si="11"/>
        <v>292</v>
      </c>
      <c r="K49">
        <f>IF(ISERROR(SEARCH(I49,'Mon armée'!A$7,(J49+LEN(M48)))),J49,SEARCH(I49,'Mon armée'!A$7,(J49+LEN(M48))))</f>
        <v>292</v>
      </c>
      <c r="L49">
        <f>IFERROR(MID('Mon armée'!A$7,Data!J49+2+LEN(M48)-IF(M48=":",2,0),(Data!K49-Data!J49-3+IF(M48=":",2,0)-LEN(M48))),0)</f>
        <v>0</v>
      </c>
      <c r="M49" t="str">
        <f t="shared" si="8"/>
        <v>Tueuses</v>
      </c>
      <c r="N49">
        <f>IFERROR(SEARCH(I49,'Mon armée'!A$7),0)</f>
        <v>0</v>
      </c>
      <c r="P49" t="str">
        <f t="shared" si="9"/>
        <v>Tueuses</v>
      </c>
      <c r="R49" t="str">
        <f t="shared" si="10"/>
        <v>Jeunes Soldates Naines</v>
      </c>
    </row>
    <row r="52" spans="7:18">
      <c r="G52" t="s">
        <v>58</v>
      </c>
      <c r="H52" t="s">
        <v>6</v>
      </c>
      <c r="I52" t="s">
        <v>4</v>
      </c>
      <c r="J52" t="s">
        <v>23</v>
      </c>
      <c r="K52" t="s">
        <v>24</v>
      </c>
      <c r="L52" t="s">
        <v>25</v>
      </c>
      <c r="M52" t="s">
        <v>21</v>
      </c>
      <c r="N52" t="s">
        <v>22</v>
      </c>
    </row>
    <row r="53" spans="7:18">
      <c r="I53" t="s">
        <v>7</v>
      </c>
      <c r="J53">
        <f>SEARCH(":",'Mon armée'!A$8)</f>
        <v>19</v>
      </c>
      <c r="K53">
        <f>IF(ISERROR(SEARCH(I53,'Mon armée'!A$8)),J53,SEARCH(I53,'Mon armée'!A$8))</f>
        <v>19</v>
      </c>
      <c r="L53">
        <f>IFERROR(MID('Mon armée'!A$8,Data!J53+1,(Data!K53-Data!J53-2)),0)</f>
        <v>0</v>
      </c>
      <c r="M53" t="str">
        <f>IF(L53&lt;&gt;0,I53,":")</f>
        <v>:</v>
      </c>
      <c r="N53">
        <f>IFERROR(SEARCH(I53,'Mon armée'!A$8),0)</f>
        <v>0</v>
      </c>
      <c r="P53" t="str">
        <f>IF(M53=":",":",M53)</f>
        <v>:</v>
      </c>
    </row>
    <row r="54" spans="7:18">
      <c r="I54" t="s">
        <v>8</v>
      </c>
      <c r="J54">
        <f>K53</f>
        <v>19</v>
      </c>
      <c r="K54">
        <f>IF(ISERROR(SEARCH(I54,'Mon armée'!$A$8,(J54+LEN(M53)))),J54,SEARCH(I54,'Mon armée'!$A$8,(J54+LEN(M53))))</f>
        <v>19</v>
      </c>
      <c r="L54">
        <f>IFERROR(MID('Mon armée'!A$8,Data!J54+2+LEN(M53)-IF(M53=":",2,0),(Data!K54-Data!J54-3+IF(M53=":",2,0)-LEN(M53))),0)</f>
        <v>0</v>
      </c>
      <c r="M54" t="str">
        <f t="shared" ref="M54:M66" si="12">IF(L54&lt;&gt;0,I54,M53)</f>
        <v>:</v>
      </c>
      <c r="N54">
        <f>IFERROR(SEARCH(I54,'Mon armée'!A$8),0)</f>
        <v>0</v>
      </c>
      <c r="P54" t="str">
        <f t="shared" ref="P54:P66" si="13">IF(M54=":",":",M54)</f>
        <v>:</v>
      </c>
      <c r="R54" t="str">
        <f>IF(L53=0,M54,I53)</f>
        <v>:</v>
      </c>
    </row>
    <row r="55" spans="7:18">
      <c r="I55" t="s">
        <v>9</v>
      </c>
      <c r="J55">
        <f>K54</f>
        <v>19</v>
      </c>
      <c r="K55">
        <f>IF(ISERROR(SEARCH(I55,'Mon armée'!$A$8,(J55+LEN(M54)))),J55,SEARCH(I55,'Mon armée'!$A$8,(J55+LEN(M54))))</f>
        <v>19</v>
      </c>
      <c r="L55">
        <f>IFERROR(MID('Mon armée'!A$8,Data!J55+2+LEN(M54)-IF(M54=":",2,0),(Data!K55-Data!J55-3+IF(M54=":",2,0)-LEN(M54))),0)</f>
        <v>0</v>
      </c>
      <c r="M55" t="str">
        <f t="shared" si="12"/>
        <v>:</v>
      </c>
      <c r="N55">
        <f>IFERROR(SEARCH(I55,'Mon armée'!A$8),0)</f>
        <v>0</v>
      </c>
      <c r="P55" t="str">
        <f t="shared" si="13"/>
        <v>:</v>
      </c>
      <c r="R55" t="e">
        <f>IF(VLOOKUP(R54,$I$53:$L$66,4,FALSE)=0,M55,$I$53)</f>
        <v>#N/A</v>
      </c>
    </row>
    <row r="56" spans="7:18">
      <c r="I56" t="s">
        <v>10</v>
      </c>
      <c r="J56">
        <f>K55</f>
        <v>19</v>
      </c>
      <c r="K56">
        <f>IF(ISERROR(SEARCH(I56,'Mon armée'!$A$8,(J56+LEN(M55)))),J56,SEARCH(I56,'Mon armée'!$A$8,(J56+LEN(M55))))</f>
        <v>19</v>
      </c>
      <c r="L56">
        <f>IFERROR(MID('Mon armée'!A$8,Data!J56+2+LEN(M55)-IF(M55=":",2,0),(Data!K56-Data!J56-3+IF(M55=":",2,0)-LEN(M55))),0)</f>
        <v>0</v>
      </c>
      <c r="M56" t="str">
        <f t="shared" si="12"/>
        <v>:</v>
      </c>
      <c r="N56">
        <f>IFERROR(SEARCH(I56,'Mon armée'!A$8),0)</f>
        <v>0</v>
      </c>
      <c r="P56" t="str">
        <f t="shared" si="13"/>
        <v>:</v>
      </c>
      <c r="R56" t="e">
        <f t="shared" ref="R56:R66" si="14">IF(VLOOKUP(R55,$I$53:$L$66,4,FALSE)=0,M56,$I$53)</f>
        <v>#N/A</v>
      </c>
    </row>
    <row r="57" spans="7:18">
      <c r="I57" t="s">
        <v>11</v>
      </c>
      <c r="J57">
        <f>K56</f>
        <v>19</v>
      </c>
      <c r="K57">
        <f>IF(N57=0,J57,IF(ISERROR(SEARCH(I57,'Mon armée'!$A$8,(J57+LEN(M56)))),J57,SEARCH(I57,'Mon armée'!$A$8,(J57+LEN(M56)))))</f>
        <v>19</v>
      </c>
      <c r="L57">
        <f>IFERROR(MID('Mon armée'!A$8,Data!J57+2+LEN(M56)-IF(M56=":",2,0),(Data!K57-Data!J57-3+IF(M56=":",2,0)-LEN(M56))),0)</f>
        <v>0</v>
      </c>
      <c r="M57" t="str">
        <f t="shared" si="12"/>
        <v>:</v>
      </c>
      <c r="N57">
        <f>IF(IFERROR(SEARCH(I57,'Mon armée'!A$8),0)=N62,0,IFERROR(SEARCH(I57,'Mon armée'!A$8),0))</f>
        <v>0</v>
      </c>
      <c r="P57" t="str">
        <f t="shared" si="13"/>
        <v>:</v>
      </c>
      <c r="R57" t="e">
        <f t="shared" si="14"/>
        <v>#N/A</v>
      </c>
    </row>
    <row r="58" spans="7:18">
      <c r="I58" t="s">
        <v>12</v>
      </c>
      <c r="J58">
        <f>K57</f>
        <v>19</v>
      </c>
      <c r="K58">
        <f>IF(N58=0,J58,IF(ISERROR(SEARCH(I58,'Mon armée'!$A$8,(J58+LEN(M57)))),J58,SEARCH(I58,'Mon armée'!$A$8,(J58+LEN(M57)))))</f>
        <v>19</v>
      </c>
      <c r="L58">
        <f>IFERROR(MID('Mon armée'!A$8,Data!J58+2+LEN(M57)-IF(M57=":",2,0),(Data!K58-Data!J58-3+IF(M57=":",2,0)-LEN(M57))),0)</f>
        <v>0</v>
      </c>
      <c r="M58" t="str">
        <f t="shared" si="12"/>
        <v>:</v>
      </c>
      <c r="N58">
        <f>IF(IFERROR(SEARCH(I58,'Mon armée'!A$8),0)=N63,0,IFERROR(SEARCH(I58,'Mon armée'!A$8),0))</f>
        <v>0</v>
      </c>
      <c r="P58" t="str">
        <f t="shared" si="13"/>
        <v>:</v>
      </c>
      <c r="R58" t="e">
        <f t="shared" si="14"/>
        <v>#N/A</v>
      </c>
    </row>
    <row r="59" spans="7:18">
      <c r="I59" t="s">
        <v>20</v>
      </c>
      <c r="J59">
        <f t="shared" ref="J59:J66" si="15">K58</f>
        <v>19</v>
      </c>
      <c r="K59">
        <f>IF(ISERROR(SEARCH(I59,'Mon armée'!$A$8,(J59+LEN(M58)))),J59,SEARCH(I59,'Mon armée'!$A$8,(J59+LEN(M58))))</f>
        <v>19</v>
      </c>
      <c r="L59">
        <f>IFERROR(MID('Mon armée'!A$8,Data!J59+2+LEN(M58)-IF(M58=":",2,0),(Data!K59-Data!J59-3+IF(M58=":",2,0)-LEN(M58))),0)</f>
        <v>0</v>
      </c>
      <c r="M59" t="str">
        <f t="shared" si="12"/>
        <v>:</v>
      </c>
      <c r="N59">
        <f>IFERROR(SEARCH(I59,'Mon armée'!A$8),0)</f>
        <v>0</v>
      </c>
      <c r="P59" t="str">
        <f t="shared" si="13"/>
        <v>:</v>
      </c>
      <c r="R59" t="e">
        <f t="shared" si="14"/>
        <v>#N/A</v>
      </c>
    </row>
    <row r="60" spans="7:18">
      <c r="I60" t="s">
        <v>13</v>
      </c>
      <c r="J60">
        <f t="shared" si="15"/>
        <v>19</v>
      </c>
      <c r="K60">
        <f>IF(ISERROR(SEARCH(I60,'Mon armée'!$A$8,(J60+LEN(M59)))),J60,SEARCH(I60,'Mon armée'!$A$8,(J60+LEN(M59))))</f>
        <v>19</v>
      </c>
      <c r="L60">
        <f>IFERROR(MID('Mon armée'!A$8,Data!J60+2+LEN(M59)-IF(M59=":",2,0),(Data!K60-Data!J60-3+IF(M59=":",2,0)-LEN(M59))),0)</f>
        <v>0</v>
      </c>
      <c r="M60" t="str">
        <f t="shared" si="12"/>
        <v>:</v>
      </c>
      <c r="N60">
        <f>IF(IFERROR(SEARCH(I60,'Mon armée'!A$8),0)=N65,0,IFERROR(SEARCH(I60,'Mon armée'!A$8),0))</f>
        <v>0</v>
      </c>
      <c r="P60" t="str">
        <f t="shared" si="13"/>
        <v>:</v>
      </c>
      <c r="R60" t="e">
        <f t="shared" si="14"/>
        <v>#N/A</v>
      </c>
    </row>
    <row r="61" spans="7:18">
      <c r="I61" t="s">
        <v>14</v>
      </c>
      <c r="J61">
        <f t="shared" si="15"/>
        <v>19</v>
      </c>
      <c r="K61">
        <f>IF(ISERROR(SEARCH(I61,'Mon armée'!$A$8,(J61+LEN(M60)))),J61,SEARCH(I61,'Mon armée'!$A$8,(J61+LEN(M60))))</f>
        <v>19</v>
      </c>
      <c r="L61">
        <f>IFERROR(MID('Mon armée'!A$8,Data!J61+2+LEN(M60)-IF(M60=":",2,0),(Data!K61-Data!J61-3+IF(M60=":",2,0)-LEN(M60))),0)</f>
        <v>0</v>
      </c>
      <c r="M61" t="str">
        <f t="shared" si="12"/>
        <v>:</v>
      </c>
      <c r="N61">
        <f>IFERROR(SEARCH(I61,'Mon armée'!A$8),0)</f>
        <v>0</v>
      </c>
      <c r="P61" t="str">
        <f t="shared" si="13"/>
        <v>:</v>
      </c>
      <c r="R61" t="e">
        <f t="shared" si="14"/>
        <v>#N/A</v>
      </c>
    </row>
    <row r="62" spans="7:18">
      <c r="I62" t="s">
        <v>15</v>
      </c>
      <c r="J62">
        <f t="shared" si="15"/>
        <v>19</v>
      </c>
      <c r="K62">
        <f>IF(ISERROR(SEARCH(I62,'Mon armée'!$A$8,(J62+LEN(M61)))),J62,SEARCH(I62,'Mon armée'!$A$8,(J62+LEN(M61))))</f>
        <v>19</v>
      </c>
      <c r="L62">
        <f>IFERROR(MID('Mon armée'!A$8,Data!J62+2+LEN(M61)-IF(M61=":",2,0),(Data!K62-Data!J62-3+IF(M61=":",2,0)-LEN(M61))),0)</f>
        <v>0</v>
      </c>
      <c r="M62" t="str">
        <f t="shared" si="12"/>
        <v>:</v>
      </c>
      <c r="N62">
        <f>IFERROR(SEARCH(I62,'Mon armée'!A$8),0)</f>
        <v>0</v>
      </c>
      <c r="P62" t="str">
        <f t="shared" si="13"/>
        <v>:</v>
      </c>
      <c r="R62" t="e">
        <f t="shared" si="14"/>
        <v>#N/A</v>
      </c>
    </row>
    <row r="63" spans="7:18">
      <c r="I63" t="s">
        <v>16</v>
      </c>
      <c r="J63">
        <f t="shared" si="15"/>
        <v>19</v>
      </c>
      <c r="K63">
        <f>IF(N63=0,J63,IF(ISERROR(SEARCH(I63,'Mon armée'!$A$8,(J63+LEN(M62)))),J63,SEARCH(I63,'Mon armée'!$A$8,(J63+LEN(M62)))))</f>
        <v>19</v>
      </c>
      <c r="L63">
        <f>IFERROR(MID('Mon armée'!A$8,Data!J63+2+LEN(M62)-IF(M62=":",2,0),(Data!K63-Data!J63-3+IF(M62=":",2,0)-LEN(M62))),0)</f>
        <v>0</v>
      </c>
      <c r="M63" t="str">
        <f t="shared" si="12"/>
        <v>:</v>
      </c>
      <c r="N63">
        <f>IF(IFERROR(SEARCH(I63,'Mon armée'!A$8),0)=N68,0,IFERROR(SEARCH(I63,'Mon armée'!A$8),0))</f>
        <v>0</v>
      </c>
      <c r="P63" t="str">
        <f t="shared" si="13"/>
        <v>:</v>
      </c>
      <c r="R63" t="e">
        <f t="shared" si="14"/>
        <v>#N/A</v>
      </c>
    </row>
    <row r="64" spans="7:18">
      <c r="I64" t="s">
        <v>17</v>
      </c>
      <c r="J64">
        <f t="shared" si="15"/>
        <v>19</v>
      </c>
      <c r="K64">
        <f>IF(ISERROR(SEARCH(I64,'Mon armée'!$A$8,(J64+LEN(M63)))),J64,SEARCH(I64,'Mon armée'!$A$8,(J64+LEN(M63))))</f>
        <v>19</v>
      </c>
      <c r="L64">
        <f>IFERROR(MID('Mon armée'!A$8,Data!J64+2+LEN(M63)-IF(M63=":",2,0),(Data!K64-Data!J64-3+IF(M63=":",2,0)-LEN(M63))),0)</f>
        <v>0</v>
      </c>
      <c r="M64" t="str">
        <f t="shared" si="12"/>
        <v>:</v>
      </c>
      <c r="N64">
        <f>IFERROR(SEARCH(I64,'Mon armée'!A$8),0)</f>
        <v>0</v>
      </c>
      <c r="P64" t="str">
        <f t="shared" si="13"/>
        <v>:</v>
      </c>
      <c r="R64" t="e">
        <f t="shared" si="14"/>
        <v>#N/A</v>
      </c>
    </row>
    <row r="65" spans="9:18">
      <c r="I65" t="s">
        <v>18</v>
      </c>
      <c r="J65">
        <f t="shared" si="15"/>
        <v>19</v>
      </c>
      <c r="K65">
        <f>IF(N65=0,J65,IF(ISERROR(SEARCH(I65,'Mon armée'!$A$8,(J65+LEN(M64)))),J65,SEARCH(I65,'Mon armée'!$A$8,(J65+LEN(M64)))))</f>
        <v>19</v>
      </c>
      <c r="L65">
        <f>IFERROR(MID('Mon armée'!A$8,Data!J65+2+LEN(M64)-IF(M64=":",2,0),(Data!K65-Data!J65-3+IF(M64=":",2,0)-LEN(M64))),0)</f>
        <v>0</v>
      </c>
      <c r="M65" t="str">
        <f t="shared" si="12"/>
        <v>:</v>
      </c>
      <c r="N65">
        <f>IF(IFERROR(SEARCH(I65,'Mon armée'!A$8),0)=N70,0,IFERROR(SEARCH(I65,'Mon armée'!A$8),0))</f>
        <v>0</v>
      </c>
      <c r="P65" t="str">
        <f t="shared" si="13"/>
        <v>:</v>
      </c>
      <c r="R65" t="e">
        <f t="shared" si="14"/>
        <v>#N/A</v>
      </c>
    </row>
    <row r="66" spans="9:18">
      <c r="I66" t="s">
        <v>19</v>
      </c>
      <c r="J66">
        <f t="shared" si="15"/>
        <v>19</v>
      </c>
      <c r="K66">
        <f>IF(ISERROR(SEARCH(I66,'Mon armée'!$A$8,(J66+LEN(M65)))),J66,SEARCH(I66,'Mon armée'!$A$8,(J66+LEN(M65))))</f>
        <v>19</v>
      </c>
      <c r="L66">
        <f>IFERROR(MID('Mon armée'!A$8,Data!J66+2+LEN(M65)-IF(M65=":",2,0),(Data!K66-Data!J66-3+IF(M65=":",2,0)-LEN(M65))),0)</f>
        <v>0</v>
      </c>
      <c r="M66" t="str">
        <f t="shared" si="12"/>
        <v>:</v>
      </c>
      <c r="N66">
        <f>IFERROR(SEARCH(I66,'Mon armée'!A$8),0)</f>
        <v>0</v>
      </c>
      <c r="P66" t="str">
        <f t="shared" si="13"/>
        <v>:</v>
      </c>
      <c r="R66" t="e">
        <f t="shared" si="14"/>
        <v>#N/A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K32"/>
  <sheetViews>
    <sheetView topLeftCell="A10" workbookViewId="0">
      <selection activeCell="K26" sqref="K26"/>
    </sheetView>
  </sheetViews>
  <sheetFormatPr baseColWidth="10" defaultRowHeight="14.4"/>
  <cols>
    <col min="8" max="8" width="18.6640625" bestFit="1" customWidth="1"/>
    <col min="9" max="9" width="17.21875" bestFit="1" customWidth="1"/>
    <col min="10" max="11" width="18.6640625" bestFit="1" customWidth="1"/>
  </cols>
  <sheetData>
    <row r="1" spans="2:11">
      <c r="B1" s="2" t="s">
        <v>26</v>
      </c>
      <c r="C1" s="2" t="s">
        <v>27</v>
      </c>
      <c r="D1" s="2" t="s">
        <v>28</v>
      </c>
      <c r="E1" s="2" t="s">
        <v>29</v>
      </c>
      <c r="F1" s="3" t="s">
        <v>30</v>
      </c>
      <c r="G1" s="2" t="s">
        <v>25</v>
      </c>
      <c r="H1" s="2" t="s">
        <v>31</v>
      </c>
      <c r="I1" s="2" t="s">
        <v>32</v>
      </c>
      <c r="J1" s="2" t="s">
        <v>33</v>
      </c>
      <c r="K1" s="4" t="s">
        <v>5</v>
      </c>
    </row>
    <row r="2" spans="2:11">
      <c r="B2" s="2" t="s">
        <v>7</v>
      </c>
      <c r="C2" s="2">
        <v>3</v>
      </c>
      <c r="D2" s="2">
        <v>2</v>
      </c>
      <c r="E2" s="2">
        <v>8</v>
      </c>
      <c r="G2" s="2">
        <f>Data!L2</f>
        <v>0</v>
      </c>
      <c r="H2" s="5">
        <f>$G2*C2</f>
        <v>0</v>
      </c>
      <c r="I2" s="5">
        <f>$G2*D2</f>
        <v>0</v>
      </c>
      <c r="J2" s="5">
        <f>$G2*E2</f>
        <v>0</v>
      </c>
      <c r="K2" s="7">
        <f>SUM(H2:H15)</f>
        <v>100000</v>
      </c>
    </row>
    <row r="3" spans="2:11">
      <c r="B3" s="2" t="s">
        <v>8</v>
      </c>
      <c r="C3" s="2">
        <v>5</v>
      </c>
      <c r="D3" s="2">
        <v>4</v>
      </c>
      <c r="E3" s="2">
        <v>10</v>
      </c>
      <c r="F3" s="2" t="s">
        <v>35</v>
      </c>
      <c r="G3" s="2">
        <f>Data!L3</f>
        <v>0</v>
      </c>
      <c r="H3" s="5">
        <f t="shared" ref="H3:H15" si="0">$G3*C3</f>
        <v>0</v>
      </c>
      <c r="I3" s="5">
        <f t="shared" ref="I3:I15" si="1">$G3*D3</f>
        <v>0</v>
      </c>
      <c r="J3" s="5">
        <f t="shared" ref="J3:J15" si="2">$G3*E3</f>
        <v>0</v>
      </c>
      <c r="K3" s="7" t="str">
        <f>Data!C18</f>
        <v>210 000</v>
      </c>
    </row>
    <row r="4" spans="2:11">
      <c r="B4" s="2" t="s">
        <v>9</v>
      </c>
      <c r="C4" s="2">
        <v>7</v>
      </c>
      <c r="D4" s="2">
        <v>6</v>
      </c>
      <c r="E4" s="2">
        <v>13</v>
      </c>
      <c r="F4" s="6">
        <f>ROUND(K3/K2,1)*10</f>
        <v>21</v>
      </c>
      <c r="G4" s="2">
        <f>Data!L4</f>
        <v>0</v>
      </c>
      <c r="H4" s="5">
        <f t="shared" si="0"/>
        <v>0</v>
      </c>
      <c r="I4" s="5">
        <f t="shared" si="1"/>
        <v>0</v>
      </c>
      <c r="J4" s="5">
        <f t="shared" si="2"/>
        <v>0</v>
      </c>
      <c r="K4" s="8">
        <f>K2+K3</f>
        <v>310000</v>
      </c>
    </row>
    <row r="5" spans="2:11">
      <c r="B5" s="2" t="s">
        <v>10</v>
      </c>
      <c r="C5" s="2">
        <v>10</v>
      </c>
      <c r="D5" s="2">
        <v>9</v>
      </c>
      <c r="E5" s="2">
        <v>16</v>
      </c>
      <c r="F5" s="2" t="s">
        <v>36</v>
      </c>
      <c r="G5" s="2" t="str">
        <f>Data!L5</f>
        <v>10 000</v>
      </c>
      <c r="H5" s="5">
        <f t="shared" si="0"/>
        <v>100000</v>
      </c>
      <c r="I5" s="5">
        <f t="shared" si="1"/>
        <v>90000</v>
      </c>
      <c r="J5" s="5">
        <f t="shared" si="2"/>
        <v>160000</v>
      </c>
      <c r="K5" s="8"/>
    </row>
    <row r="6" spans="2:11">
      <c r="B6" s="2" t="s">
        <v>11</v>
      </c>
      <c r="C6" s="2">
        <v>15</v>
      </c>
      <c r="D6" s="2">
        <v>14</v>
      </c>
      <c r="E6" s="2">
        <v>20</v>
      </c>
      <c r="F6" s="2"/>
      <c r="G6" s="2">
        <f>Data!L6</f>
        <v>0</v>
      </c>
      <c r="H6" s="5">
        <f t="shared" si="0"/>
        <v>0</v>
      </c>
      <c r="I6" s="5">
        <f t="shared" si="1"/>
        <v>0</v>
      </c>
      <c r="J6" s="5">
        <f t="shared" si="2"/>
        <v>0</v>
      </c>
      <c r="K6" s="11" t="s">
        <v>6</v>
      </c>
    </row>
    <row r="7" spans="2:11">
      <c r="B7" s="2" t="s">
        <v>12</v>
      </c>
      <c r="C7" s="2">
        <v>1</v>
      </c>
      <c r="D7" s="2">
        <v>25</v>
      </c>
      <c r="E7" s="2">
        <v>30</v>
      </c>
      <c r="G7" s="2">
        <f>Data!L7</f>
        <v>0</v>
      </c>
      <c r="H7" s="5">
        <f t="shared" si="0"/>
        <v>0</v>
      </c>
      <c r="I7" s="5">
        <f t="shared" si="1"/>
        <v>0</v>
      </c>
      <c r="J7" s="5">
        <f t="shared" si="2"/>
        <v>0</v>
      </c>
      <c r="K7" s="7">
        <f>SUM(I2:I15)</f>
        <v>90000</v>
      </c>
    </row>
    <row r="8" spans="2:11">
      <c r="B8" s="2" t="s">
        <v>20</v>
      </c>
      <c r="C8" s="2">
        <v>1</v>
      </c>
      <c r="D8" s="2">
        <v>35</v>
      </c>
      <c r="E8" s="2">
        <v>40</v>
      </c>
      <c r="G8" s="2">
        <f>Data!L8</f>
        <v>0</v>
      </c>
      <c r="H8" s="5">
        <f t="shared" si="0"/>
        <v>0</v>
      </c>
      <c r="I8" s="5">
        <f t="shared" si="1"/>
        <v>0</v>
      </c>
      <c r="J8" s="5">
        <f t="shared" si="2"/>
        <v>0</v>
      </c>
      <c r="K8" s="7">
        <f>K7*F4/10</f>
        <v>189000</v>
      </c>
    </row>
    <row r="9" spans="2:11">
      <c r="B9" s="2" t="s">
        <v>13</v>
      </c>
      <c r="C9" s="2">
        <v>30</v>
      </c>
      <c r="D9" s="2">
        <v>15</v>
      </c>
      <c r="E9" s="2">
        <v>10</v>
      </c>
      <c r="G9" s="2">
        <f>Data!L9</f>
        <v>0</v>
      </c>
      <c r="H9" s="5">
        <f t="shared" si="0"/>
        <v>0</v>
      </c>
      <c r="I9" s="5">
        <f t="shared" si="1"/>
        <v>0</v>
      </c>
      <c r="J9" s="5">
        <f t="shared" si="2"/>
        <v>0</v>
      </c>
      <c r="K9" s="8">
        <f>K7+K8</f>
        <v>279000</v>
      </c>
    </row>
    <row r="10" spans="2:11">
      <c r="B10" s="2" t="s">
        <v>14</v>
      </c>
      <c r="C10" s="2">
        <v>35</v>
      </c>
      <c r="D10" s="2">
        <v>18</v>
      </c>
      <c r="E10" s="2">
        <v>12</v>
      </c>
      <c r="G10" s="2">
        <f>Data!L10</f>
        <v>0</v>
      </c>
      <c r="H10" s="5">
        <f t="shared" si="0"/>
        <v>0</v>
      </c>
      <c r="I10" s="5">
        <f t="shared" si="1"/>
        <v>0</v>
      </c>
      <c r="J10" s="5">
        <f t="shared" si="2"/>
        <v>0</v>
      </c>
      <c r="K10" s="8"/>
    </row>
    <row r="11" spans="2:11">
      <c r="B11" s="2" t="s">
        <v>15</v>
      </c>
      <c r="C11" s="2">
        <v>24</v>
      </c>
      <c r="D11" s="2">
        <v>23</v>
      </c>
      <c r="E11" s="2">
        <v>27</v>
      </c>
      <c r="G11" s="2">
        <f>Data!L11</f>
        <v>0</v>
      </c>
      <c r="H11" s="5">
        <f t="shared" si="0"/>
        <v>0</v>
      </c>
      <c r="I11" s="5">
        <f t="shared" si="1"/>
        <v>0</v>
      </c>
      <c r="J11" s="5">
        <f t="shared" si="2"/>
        <v>0</v>
      </c>
      <c r="K11" s="8"/>
    </row>
    <row r="12" spans="2:11">
      <c r="B12" s="2" t="s">
        <v>16</v>
      </c>
      <c r="C12" s="2">
        <v>55</v>
      </c>
      <c r="D12" s="2">
        <v>1</v>
      </c>
      <c r="E12" s="2">
        <v>35</v>
      </c>
      <c r="G12" s="2">
        <f>Data!L12</f>
        <v>0</v>
      </c>
      <c r="H12" s="5">
        <f t="shared" si="0"/>
        <v>0</v>
      </c>
      <c r="I12" s="5">
        <f t="shared" si="1"/>
        <v>0</v>
      </c>
      <c r="J12" s="5">
        <f t="shared" si="2"/>
        <v>0</v>
      </c>
      <c r="K12" s="7" t="s">
        <v>34</v>
      </c>
    </row>
    <row r="13" spans="2:11">
      <c r="B13" s="2" t="s">
        <v>17</v>
      </c>
      <c r="C13" s="2">
        <v>80</v>
      </c>
      <c r="D13" s="2">
        <v>1</v>
      </c>
      <c r="E13" s="2">
        <v>50</v>
      </c>
      <c r="G13" s="2">
        <f>Data!L13</f>
        <v>0</v>
      </c>
      <c r="H13" s="5">
        <f t="shared" si="0"/>
        <v>0</v>
      </c>
      <c r="I13" s="5">
        <f t="shared" si="1"/>
        <v>0</v>
      </c>
      <c r="J13" s="5">
        <f t="shared" si="2"/>
        <v>0</v>
      </c>
      <c r="K13" s="7">
        <f>SUM(J2:J15)</f>
        <v>160000</v>
      </c>
    </row>
    <row r="14" spans="2:11">
      <c r="B14" s="2" t="s">
        <v>18</v>
      </c>
      <c r="C14" s="2">
        <v>50</v>
      </c>
      <c r="D14" s="2">
        <v>50</v>
      </c>
      <c r="E14" s="2">
        <v>50</v>
      </c>
      <c r="G14" s="2">
        <f>Data!L14</f>
        <v>0</v>
      </c>
      <c r="H14" s="5">
        <f t="shared" si="0"/>
        <v>0</v>
      </c>
      <c r="I14" s="5">
        <f t="shared" si="1"/>
        <v>0</v>
      </c>
      <c r="J14" s="5">
        <f t="shared" si="2"/>
        <v>0</v>
      </c>
      <c r="K14" s="7"/>
    </row>
    <row r="15" spans="2:11">
      <c r="B15" s="2" t="s">
        <v>19</v>
      </c>
      <c r="C15" s="2">
        <v>55</v>
      </c>
      <c r="D15" s="2">
        <v>55</v>
      </c>
      <c r="E15" s="2">
        <v>55</v>
      </c>
      <c r="G15" s="2">
        <f>Data!L15</f>
        <v>0</v>
      </c>
      <c r="H15" s="5">
        <f t="shared" si="0"/>
        <v>0</v>
      </c>
      <c r="I15" s="5">
        <f t="shared" si="1"/>
        <v>0</v>
      </c>
      <c r="J15" s="5">
        <f t="shared" si="2"/>
        <v>0</v>
      </c>
      <c r="K15" s="9"/>
    </row>
    <row r="16" spans="2:11">
      <c r="K16" s="9"/>
    </row>
    <row r="17" spans="6:11">
      <c r="K17" s="9"/>
    </row>
    <row r="18" spans="6:11">
      <c r="F18" s="3" t="s">
        <v>6</v>
      </c>
      <c r="G18" s="2" t="s">
        <v>25</v>
      </c>
      <c r="H18" s="2" t="s">
        <v>31</v>
      </c>
      <c r="I18" s="2" t="s">
        <v>32</v>
      </c>
      <c r="J18" s="2" t="s">
        <v>33</v>
      </c>
      <c r="K18" s="10" t="s">
        <v>5</v>
      </c>
    </row>
    <row r="19" spans="6:11">
      <c r="G19" s="2" t="str">
        <f>Data!L19</f>
        <v>41 848 753</v>
      </c>
      <c r="H19" s="5">
        <f>$G19*C2</f>
        <v>125546259</v>
      </c>
      <c r="I19" s="5">
        <f t="shared" ref="I19:J19" si="3">$G19*D2</f>
        <v>83697506</v>
      </c>
      <c r="J19" s="5">
        <f t="shared" si="3"/>
        <v>334790024</v>
      </c>
      <c r="K19" s="7">
        <f>SUM(H19:H32)</f>
        <v>6928509737</v>
      </c>
    </row>
    <row r="20" spans="6:11">
      <c r="F20" s="2" t="s">
        <v>35</v>
      </c>
      <c r="G20" s="2" t="str">
        <f>Data!L20</f>
        <v>10 425 997</v>
      </c>
      <c r="H20" s="5">
        <f t="shared" ref="H20:H32" si="4">$G20*C3</f>
        <v>52129985</v>
      </c>
      <c r="I20" s="5">
        <f t="shared" ref="I20:I32" si="5">$G20*D3</f>
        <v>41703988</v>
      </c>
      <c r="J20" s="5">
        <f t="shared" ref="J20:J32" si="6">$G20*E3</f>
        <v>104259970</v>
      </c>
      <c r="K20" s="7">
        <f>K19*F21/10</f>
        <v>14549870447.700001</v>
      </c>
    </row>
    <row r="21" spans="6:11">
      <c r="F21" s="2">
        <f>Data!C24</f>
        <v>21</v>
      </c>
      <c r="G21" s="2" t="str">
        <f>Data!L21</f>
        <v>59 641 413</v>
      </c>
      <c r="H21" s="5">
        <f t="shared" si="4"/>
        <v>417489891</v>
      </c>
      <c r="I21" s="5">
        <f t="shared" si="5"/>
        <v>357848478</v>
      </c>
      <c r="J21" s="5">
        <f t="shared" si="6"/>
        <v>775338369</v>
      </c>
      <c r="K21" s="8">
        <f>K19+K20</f>
        <v>21478380184.700001</v>
      </c>
    </row>
    <row r="22" spans="6:11">
      <c r="F22" s="2" t="s">
        <v>37</v>
      </c>
      <c r="G22" s="2" t="str">
        <f>Data!L22</f>
        <v>1 830 811</v>
      </c>
      <c r="H22" s="5">
        <f t="shared" si="4"/>
        <v>18308110</v>
      </c>
      <c r="I22" s="5">
        <f t="shared" si="5"/>
        <v>16477299</v>
      </c>
      <c r="J22" s="5">
        <f t="shared" si="6"/>
        <v>29292976</v>
      </c>
      <c r="K22" s="8"/>
    </row>
    <row r="23" spans="6:11">
      <c r="F23" s="2">
        <f>'Calculs OS'!L3</f>
        <v>57.508710801393725</v>
      </c>
      <c r="G23" s="2" t="str">
        <f>Data!L23</f>
        <v>4 915 866</v>
      </c>
      <c r="H23" s="5">
        <f t="shared" si="4"/>
        <v>73737990</v>
      </c>
      <c r="I23" s="5">
        <f t="shared" si="5"/>
        <v>68822124</v>
      </c>
      <c r="J23" s="5">
        <f t="shared" si="6"/>
        <v>98317320</v>
      </c>
      <c r="K23" s="7" t="s">
        <v>6</v>
      </c>
    </row>
    <row r="24" spans="6:11">
      <c r="G24" s="2" t="str">
        <f>Data!L24</f>
        <v>29 931</v>
      </c>
      <c r="H24" s="5">
        <f t="shared" si="4"/>
        <v>29931</v>
      </c>
      <c r="I24" s="5">
        <f t="shared" si="5"/>
        <v>748275</v>
      </c>
      <c r="J24" s="5">
        <f t="shared" si="6"/>
        <v>897930</v>
      </c>
      <c r="K24" s="7">
        <f>SUM(I19:I32)</f>
        <v>3012558096</v>
      </c>
    </row>
    <row r="25" spans="6:11">
      <c r="G25" s="2" t="str">
        <f>Data!L25</f>
        <v>69</v>
      </c>
      <c r="H25" s="5">
        <f t="shared" si="4"/>
        <v>69</v>
      </c>
      <c r="I25" s="5">
        <f t="shared" si="5"/>
        <v>2415</v>
      </c>
      <c r="J25" s="5">
        <f t="shared" si="6"/>
        <v>2760</v>
      </c>
      <c r="K25" s="7">
        <f>K24*F21/10</f>
        <v>6326372001.6000004</v>
      </c>
    </row>
    <row r="26" spans="6:11">
      <c r="G26" s="2">
        <f>Data!L26</f>
        <v>0</v>
      </c>
      <c r="H26" s="5">
        <f t="shared" si="4"/>
        <v>0</v>
      </c>
      <c r="I26" s="5">
        <f t="shared" si="5"/>
        <v>0</v>
      </c>
      <c r="J26" s="5">
        <f t="shared" si="6"/>
        <v>0</v>
      </c>
      <c r="K26" s="8">
        <f>K24+K25</f>
        <v>9338930097.6000004</v>
      </c>
    </row>
    <row r="27" spans="6:11">
      <c r="G27" s="2" t="str">
        <f>Data!L27</f>
        <v>2 206 299</v>
      </c>
      <c r="H27" s="5">
        <f t="shared" si="4"/>
        <v>77220465</v>
      </c>
      <c r="I27" s="5">
        <f t="shared" si="5"/>
        <v>39713382</v>
      </c>
      <c r="J27" s="5">
        <f t="shared" si="6"/>
        <v>26475588</v>
      </c>
      <c r="K27" s="8"/>
    </row>
    <row r="28" spans="6:11">
      <c r="G28" s="2" t="str">
        <f>Data!L28</f>
        <v>101 325 583</v>
      </c>
      <c r="H28" s="5">
        <f t="shared" si="4"/>
        <v>2431813992</v>
      </c>
      <c r="I28" s="5">
        <f t="shared" si="5"/>
        <v>2330488409</v>
      </c>
      <c r="J28" s="5">
        <f t="shared" si="6"/>
        <v>2735790741</v>
      </c>
      <c r="K28" s="8"/>
    </row>
    <row r="29" spans="6:11">
      <c r="G29" s="2" t="str">
        <f>Data!L29</f>
        <v>1 819 705</v>
      </c>
      <c r="H29" s="5">
        <f t="shared" si="4"/>
        <v>100083775</v>
      </c>
      <c r="I29" s="5">
        <f t="shared" si="5"/>
        <v>1819705</v>
      </c>
      <c r="J29" s="5">
        <f t="shared" si="6"/>
        <v>63689675</v>
      </c>
      <c r="K29" s="7" t="s">
        <v>34</v>
      </c>
    </row>
    <row r="30" spans="6:11">
      <c r="G30" s="2" t="str">
        <f>Data!L30</f>
        <v>45 074 845</v>
      </c>
      <c r="H30" s="5">
        <f t="shared" si="4"/>
        <v>3605987600</v>
      </c>
      <c r="I30" s="5">
        <f t="shared" si="5"/>
        <v>45074845</v>
      </c>
      <c r="J30" s="5">
        <f t="shared" si="6"/>
        <v>2253742250</v>
      </c>
      <c r="K30" s="7">
        <f>SUM(J19:J32)</f>
        <v>6448759273</v>
      </c>
    </row>
    <row r="31" spans="6:11">
      <c r="G31" s="2" t="str">
        <f>Data!L31</f>
        <v>11 542</v>
      </c>
      <c r="H31" s="5">
        <f t="shared" si="4"/>
        <v>577100</v>
      </c>
      <c r="I31" s="5">
        <f t="shared" si="5"/>
        <v>577100</v>
      </c>
      <c r="J31" s="5">
        <f t="shared" si="6"/>
        <v>577100</v>
      </c>
      <c r="K31" s="7">
        <f>K30*F23/10</f>
        <v>37085983205.876305</v>
      </c>
    </row>
    <row r="32" spans="6:11">
      <c r="G32" s="2" t="str">
        <f>Data!L32</f>
        <v>465 174</v>
      </c>
      <c r="H32" s="5">
        <f t="shared" si="4"/>
        <v>25584570</v>
      </c>
      <c r="I32" s="5">
        <f t="shared" si="5"/>
        <v>25584570</v>
      </c>
      <c r="J32" s="5">
        <f t="shared" si="6"/>
        <v>25584570</v>
      </c>
      <c r="K32" s="8">
        <f>K30+K31</f>
        <v>43534742478.876305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P31"/>
  <sheetViews>
    <sheetView workbookViewId="0">
      <selection activeCell="H9" sqref="H9"/>
    </sheetView>
  </sheetViews>
  <sheetFormatPr baseColWidth="10" defaultRowHeight="14.4"/>
  <cols>
    <col min="5" max="5" width="16.21875" bestFit="1" customWidth="1"/>
    <col min="10" max="10" width="15.77734375" bestFit="1" customWidth="1"/>
    <col min="12" max="12" width="12" bestFit="1" customWidth="1"/>
    <col min="14" max="14" width="16.21875" bestFit="1" customWidth="1"/>
    <col min="15" max="15" width="15.109375" bestFit="1" customWidth="1"/>
    <col min="16" max="16" width="13.6640625" bestFit="1" customWidth="1"/>
  </cols>
  <sheetData>
    <row r="2" spans="2:16">
      <c r="B2" t="s">
        <v>47</v>
      </c>
      <c r="D2" t="s">
        <v>49</v>
      </c>
      <c r="E2" t="s">
        <v>50</v>
      </c>
      <c r="F2" t="s">
        <v>51</v>
      </c>
      <c r="G2" t="s">
        <v>52</v>
      </c>
      <c r="H2" t="s">
        <v>54</v>
      </c>
      <c r="I2" t="s">
        <v>55</v>
      </c>
      <c r="J2" t="s">
        <v>53</v>
      </c>
      <c r="K2" t="s">
        <v>56</v>
      </c>
      <c r="L2" t="s">
        <v>57</v>
      </c>
    </row>
    <row r="3" spans="2:16">
      <c r="B3">
        <f>'Résumés Armées'!K4</f>
        <v>310000</v>
      </c>
      <c r="E3">
        <f>SEARCH('Calculs OS'!E2,'Armée Ennemie'!A10)</f>
        <v>43</v>
      </c>
      <c r="F3">
        <f>SEARCH('Calculs OS'!F2,'Armée Ennemie'!A10)</f>
        <v>54</v>
      </c>
      <c r="G3" t="str">
        <f>MID('Armée Ennemie'!A10,'Calculs OS'!E3+1+LEN('Calculs OS'!E2),('Calculs OS'!F3-'Calculs OS'!E3-2-LEN('Calculs OS'!E2)))</f>
        <v>5 740</v>
      </c>
      <c r="H3" t="str">
        <f>Data!R32</f>
        <v>Jeunes Soldates Naines</v>
      </c>
      <c r="I3">
        <f>VLOOKUP(H3,'Résumés Armées'!B2:E15,4,FALSE)</f>
        <v>8</v>
      </c>
      <c r="J3">
        <f>B3/I3</f>
        <v>38750</v>
      </c>
      <c r="K3">
        <f>J3/G3</f>
        <v>6.7508710801393725</v>
      </c>
      <c r="L3">
        <f>(K3-1)*10</f>
        <v>57.508710801393725</v>
      </c>
    </row>
    <row r="5" spans="2:16">
      <c r="B5" t="s">
        <v>65</v>
      </c>
    </row>
    <row r="7" spans="2:16">
      <c r="B7" t="s">
        <v>66</v>
      </c>
      <c r="C7" s="20">
        <v>0.1</v>
      </c>
      <c r="E7" t="s">
        <v>67</v>
      </c>
      <c r="F7" t="s">
        <v>68</v>
      </c>
      <c r="G7" t="s">
        <v>93</v>
      </c>
    </row>
    <row r="8" spans="2:16">
      <c r="B8">
        <f>'Résumés Armées'!K26</f>
        <v>9338930097.6000004</v>
      </c>
      <c r="C8">
        <f>B8/10</f>
        <v>933893009.75999999</v>
      </c>
      <c r="E8">
        <f>8*(1+'Mon armée'!I12/10)</f>
        <v>24</v>
      </c>
      <c r="F8">
        <f>ROUNDUP(C8/E8,0)</f>
        <v>38912209</v>
      </c>
      <c r="G8">
        <f>ROUNDUP(F8,-(LEN(F8)-2))</f>
        <v>39000000</v>
      </c>
    </row>
    <row r="12" spans="2:16">
      <c r="B12" t="s">
        <v>72</v>
      </c>
      <c r="E12" t="s">
        <v>74</v>
      </c>
      <c r="F12" t="s">
        <v>75</v>
      </c>
      <c r="G12" t="s">
        <v>76</v>
      </c>
      <c r="J12" t="s">
        <v>69</v>
      </c>
      <c r="K12" t="s">
        <v>91</v>
      </c>
      <c r="L12">
        <f>'Résumés Armées'!K32</f>
        <v>43534742478.876305</v>
      </c>
      <c r="M12" t="s">
        <v>108</v>
      </c>
    </row>
    <row r="13" spans="2:16">
      <c r="B13" t="s">
        <v>73</v>
      </c>
      <c r="D13" t="s">
        <v>84</v>
      </c>
      <c r="E13" s="17">
        <v>20000000</v>
      </c>
      <c r="F13">
        <v>12250600</v>
      </c>
      <c r="G13" s="21">
        <f t="shared" ref="G13:G26" si="0">F13/E13</f>
        <v>0.61253000000000002</v>
      </c>
      <c r="K13" t="s">
        <v>92</v>
      </c>
      <c r="L13">
        <f>G8</f>
        <v>39000000</v>
      </c>
    </row>
    <row r="14" spans="2:16">
      <c r="D14" t="s">
        <v>85</v>
      </c>
      <c r="E14" s="17">
        <v>20000000</v>
      </c>
      <c r="F14">
        <v>12238169</v>
      </c>
      <c r="G14" s="21">
        <f t="shared" si="0"/>
        <v>0.61190845000000005</v>
      </c>
      <c r="K14" t="s">
        <v>94</v>
      </c>
      <c r="L14">
        <f>L12-L13*(1+'Mon armée'!I10/10)</f>
        <v>43413842478.876305</v>
      </c>
      <c r="M14" t="s">
        <v>104</v>
      </c>
      <c r="N14" t="s">
        <v>107</v>
      </c>
      <c r="O14" t="s">
        <v>105</v>
      </c>
      <c r="P14" t="s">
        <v>106</v>
      </c>
    </row>
    <row r="15" spans="2:16">
      <c r="D15" t="s">
        <v>87</v>
      </c>
      <c r="E15" s="17">
        <v>30900000</v>
      </c>
      <c r="F15">
        <v>18303592</v>
      </c>
      <c r="G15" s="21">
        <f t="shared" si="0"/>
        <v>0.59234925566343044</v>
      </c>
      <c r="K15" t="s">
        <v>95</v>
      </c>
      <c r="L15" t="str">
        <f>IFERROR(VLOOKUP(VALUE(RIGHT(K15,1)),'Armée Ennemie'!I$12:J$19,2,FALSE),"")</f>
        <v/>
      </c>
      <c r="M15">
        <f>IFERROR(VALUE(VLOOKUP(L15,'Mon armée'!K$7:L$20,2,FALSE)),0)-IF(L15='Mon armée'!$K$7,'Calculs OS'!$L$13,0)</f>
        <v>0</v>
      </c>
      <c r="N15">
        <f>L14</f>
        <v>43413842478.876305</v>
      </c>
      <c r="O15" s="17">
        <f>IFERROR(($L$14/((1+'Mon armée'!$I$10/10)*VLOOKUP(L15,'Résumés Armées'!B$2:C$15,2,FALSE))),0)</f>
        <v>0</v>
      </c>
      <c r="P15" s="17">
        <f>IF(O15&gt;M15,M15,O15)+IF(L15='Mon armée'!$K$7,'Calculs OS'!$L$13,0)</f>
        <v>0</v>
      </c>
    </row>
    <row r="16" spans="2:16">
      <c r="D16" t="s">
        <v>88</v>
      </c>
      <c r="E16" s="17">
        <v>20000000</v>
      </c>
      <c r="F16">
        <v>11523150</v>
      </c>
      <c r="G16" s="21">
        <f t="shared" si="0"/>
        <v>0.57615749999999999</v>
      </c>
      <c r="K16" t="s">
        <v>96</v>
      </c>
      <c r="L16" t="str">
        <f>IFERROR(VLOOKUP(VALUE(RIGHT(K16,1)),'Armée Ennemie'!I$12:J$19,2,FALSE),"")</f>
        <v/>
      </c>
      <c r="M16">
        <f>IFERROR(VALUE(VLOOKUP(L16,'Mon armée'!K$7:L$20,2,FALSE)),0)-IF(L16='Mon armée'!$K$7,'Calculs OS'!$L$13,0)</f>
        <v>0</v>
      </c>
      <c r="N16" s="18">
        <f>N15-(1+'Mon armée'!$I$10/10)*IFERROR(VLOOKUP('Calculs OS'!L15,'Résumés Armées'!B$2:C$15,2,FALSE),0)*P15</f>
        <v>43413842478.876305</v>
      </c>
      <c r="O16" s="17">
        <f>IFERROR(N16/((1+'Mon armée'!$I$10/10)*VLOOKUP(L16,'Résumés Armées'!B$2:C$15,2,FALSE)),0)</f>
        <v>0</v>
      </c>
      <c r="P16" s="17">
        <f>IF(O16&gt;M16,M16,O16)+IF(L16='Mon armée'!$K$7,'Calculs OS'!$L$13,0)</f>
        <v>0</v>
      </c>
    </row>
    <row r="17" spans="4:16">
      <c r="D17" t="s">
        <v>89</v>
      </c>
      <c r="E17" s="17">
        <v>20000000</v>
      </c>
      <c r="F17">
        <v>10587852</v>
      </c>
      <c r="G17" s="21">
        <f t="shared" si="0"/>
        <v>0.52939259999999999</v>
      </c>
      <c r="K17" t="s">
        <v>97</v>
      </c>
      <c r="L17" t="str">
        <f>IFERROR(VLOOKUP(VALUE(RIGHT(K17,1)),'Armée Ennemie'!I$12:J$19,2,FALSE),"")</f>
        <v/>
      </c>
      <c r="M17">
        <f>IFERROR(VALUE(VLOOKUP(L17,'Mon armée'!K$7:L$20,2,FALSE)),0)-IF(L17='Mon armée'!$K$7,'Calculs OS'!$L$13,0)</f>
        <v>0</v>
      </c>
      <c r="N17" s="18">
        <f>N16-(1+'Mon armée'!$I$10/10)*IFERROR(VLOOKUP('Calculs OS'!L16,'Résumés Armées'!B$2:C$15,2,FALSE),0)*P16</f>
        <v>43413842478.876305</v>
      </c>
      <c r="O17" s="17">
        <f>IFERROR(N17/((1+'Mon armée'!$I$10/10)*VLOOKUP(L17,'Résumés Armées'!B$2:C$15,2,FALSE)),0)</f>
        <v>0</v>
      </c>
      <c r="P17" s="17">
        <f>IF(O17&gt;M17,M17,O17)+IF(L17='Mon armée'!$K$7,'Calculs OS'!$L$13,0)</f>
        <v>0</v>
      </c>
    </row>
    <row r="18" spans="4:16">
      <c r="D18" t="s">
        <v>90</v>
      </c>
      <c r="E18" s="17">
        <v>20000000</v>
      </c>
      <c r="F18">
        <v>10562785</v>
      </c>
      <c r="G18" s="21">
        <f t="shared" si="0"/>
        <v>0.52813924999999995</v>
      </c>
      <c r="K18" t="s">
        <v>98</v>
      </c>
      <c r="L18" t="str">
        <f>IFERROR(VLOOKUP(VALUE(RIGHT(K18,1)),'Armée Ennemie'!I$12:J$19,2,FALSE),"")</f>
        <v/>
      </c>
      <c r="M18">
        <f>IFERROR(VALUE(VLOOKUP(L18,'Mon armée'!K$7:L$20,2,FALSE)),0)-IF(L18='Mon armée'!$K$7,'Calculs OS'!$L$13,0)</f>
        <v>0</v>
      </c>
      <c r="N18" s="18">
        <f>N17-(1+'Mon armée'!$I$10/10)*IFERROR(VLOOKUP('Calculs OS'!L17,'Résumés Armées'!B$2:C$15,2,FALSE),0)*P17</f>
        <v>43413842478.876305</v>
      </c>
      <c r="O18" s="17">
        <f>IFERROR(N18/((1+'Mon armée'!$I$10/10)*VLOOKUP(L18,'Résumés Armées'!B$2:C$15,2,FALSE)),0)</f>
        <v>0</v>
      </c>
      <c r="P18" s="17">
        <f>IF(O18&gt;M18,M18,O18)+IF(L18='Mon armée'!$K$7,'Calculs OS'!$L$13,0)</f>
        <v>0</v>
      </c>
    </row>
    <row r="19" spans="4:16">
      <c r="D19" t="s">
        <v>80</v>
      </c>
      <c r="E19" s="17">
        <v>20000000</v>
      </c>
      <c r="F19">
        <v>9787283</v>
      </c>
      <c r="G19" s="21">
        <f t="shared" si="0"/>
        <v>0.48936415</v>
      </c>
      <c r="K19" t="s">
        <v>99</v>
      </c>
      <c r="L19" t="str">
        <f>IFERROR(VLOOKUP(VALUE(RIGHT(K19,1)),'Armée Ennemie'!I$12:J$19,2,FALSE),"")</f>
        <v/>
      </c>
      <c r="M19">
        <f>IFERROR(VALUE(VLOOKUP(L19,'Mon armée'!K$7:L$20,2,FALSE)),0)-IF(L19='Mon armée'!$K$7,'Calculs OS'!$L$13,0)</f>
        <v>0</v>
      </c>
      <c r="N19" s="18">
        <f>N18-(1+'Mon armée'!$I$10/10)*IFERROR(VLOOKUP('Calculs OS'!L18,'Résumés Armées'!B$2:C$15,2,FALSE),0)*P18</f>
        <v>43413842478.876305</v>
      </c>
      <c r="O19" s="17">
        <f>IFERROR(N19/((1+'Mon armée'!$I$10/10)*VLOOKUP(L19,'Résumés Armées'!B$2:C$15,2,FALSE)),0)</f>
        <v>0</v>
      </c>
      <c r="P19" s="17">
        <f>IF(O19&gt;M19,M19,O19)+IF(L19='Mon armée'!$K$7,'Calculs OS'!$L$13,0)</f>
        <v>0</v>
      </c>
    </row>
    <row r="20" spans="4:16">
      <c r="D20" t="s">
        <v>81</v>
      </c>
      <c r="E20" s="17">
        <v>20000000</v>
      </c>
      <c r="F20">
        <v>9758272</v>
      </c>
      <c r="G20" s="21">
        <f t="shared" si="0"/>
        <v>0.4879136</v>
      </c>
      <c r="K20" t="s">
        <v>100</v>
      </c>
      <c r="L20" t="str">
        <f>IFERROR(VLOOKUP(VALUE(RIGHT(K20,1)),'Armée Ennemie'!I$12:J$19,2,FALSE),"")</f>
        <v/>
      </c>
      <c r="M20">
        <f>IFERROR(VALUE(VLOOKUP(L20,'Mon armée'!K$7:L$20,2,FALSE)),0)-IF(L20='Mon armée'!$K$7,'Calculs OS'!$L$13,0)</f>
        <v>0</v>
      </c>
      <c r="N20" s="18">
        <f>N19-(1+'Mon armée'!$I$10/10)*IFERROR(VLOOKUP('Calculs OS'!L19,'Résumés Armées'!B$2:C$15,2,FALSE),0)*P19</f>
        <v>43413842478.876305</v>
      </c>
      <c r="O20" s="17">
        <f>IFERROR(N20/((1+'Mon armée'!$I$10/10)*VLOOKUP(L20,'Résumés Armées'!B$2:C$15,2,FALSE)),0)</f>
        <v>0</v>
      </c>
      <c r="P20" s="17">
        <f>IF(O20&gt;M20,M20,O20)+IF(L20='Mon armée'!$K$7,'Calculs OS'!$L$13,0)</f>
        <v>0</v>
      </c>
    </row>
    <row r="21" spans="4:16">
      <c r="D21" t="s">
        <v>86</v>
      </c>
      <c r="E21" s="17">
        <v>20000000</v>
      </c>
      <c r="F21">
        <v>9616015</v>
      </c>
      <c r="G21" s="21">
        <f t="shared" si="0"/>
        <v>0.48080075</v>
      </c>
      <c r="K21" t="s">
        <v>101</v>
      </c>
      <c r="L21" t="str">
        <f>IFERROR(VLOOKUP(VALUE(RIGHT(K21,1)),'Armée Ennemie'!I$12:J$19,2,FALSE),"")</f>
        <v/>
      </c>
      <c r="M21">
        <f>IFERROR(VALUE(VLOOKUP(L21,'Mon armée'!K$7:L$20,2,FALSE)),0)-IF(L21='Mon armée'!$K$7,'Calculs OS'!$L$13,0)</f>
        <v>0</v>
      </c>
      <c r="N21" s="18">
        <f>N20-(1+'Mon armée'!$I$10/10)*IFERROR(VLOOKUP('Calculs OS'!L20,'Résumés Armées'!B$2:C$15,2,FALSE),0)*P20</f>
        <v>43413842478.876305</v>
      </c>
      <c r="O21" s="17">
        <f>IFERROR(N21/((1+'Mon armée'!$I$10/10)*VLOOKUP(L21,'Résumés Armées'!B$2:C$15,2,FALSE)),0)</f>
        <v>0</v>
      </c>
      <c r="P21" s="17">
        <f>IF(O21&gt;M21,M21,O21)+IF(L21='Mon armée'!$K$7,'Calculs OS'!$L$13,0)</f>
        <v>0</v>
      </c>
    </row>
    <row r="22" spans="4:16">
      <c r="D22" t="s">
        <v>79</v>
      </c>
      <c r="E22" s="17">
        <v>20000000</v>
      </c>
      <c r="F22">
        <v>9479745</v>
      </c>
      <c r="G22" s="21">
        <f t="shared" si="0"/>
        <v>0.47398725000000003</v>
      </c>
      <c r="K22" t="s">
        <v>102</v>
      </c>
      <c r="L22" t="str">
        <f>IFERROR(VLOOKUP(VALUE(RIGHT(K22,1)),'Armée Ennemie'!I$12:J$19,2,FALSE),"")</f>
        <v/>
      </c>
      <c r="M22">
        <f>IFERROR(VALUE(VLOOKUP(L22,'Mon armée'!K$7:L$20,2,FALSE)),0)-IF(L22='Mon armée'!$K$7,'Calculs OS'!$L$13,0)</f>
        <v>0</v>
      </c>
      <c r="N22" s="18">
        <f>N21-(1+'Mon armée'!$I$10/10)*IFERROR(VLOOKUP('Calculs OS'!L21,'Résumés Armées'!B$2:C$15,2,FALSE),0)*P21</f>
        <v>43413842478.876305</v>
      </c>
      <c r="O22" s="17">
        <f>IFERROR(N22/((1+'Mon armée'!$I$10/10)*VLOOKUP(L22,'Résumés Armées'!B$2:C$15,2,FALSE)),0)</f>
        <v>0</v>
      </c>
      <c r="P22" s="17">
        <f>IF(O22&gt;M22,M22,O22)+IF(L22='Mon armée'!$K$7,'Calculs OS'!$L$13,0)</f>
        <v>0</v>
      </c>
    </row>
    <row r="23" spans="4:16">
      <c r="D23" t="s">
        <v>78</v>
      </c>
      <c r="E23" s="17">
        <v>20000000</v>
      </c>
      <c r="F23">
        <v>9115893</v>
      </c>
      <c r="G23" s="21">
        <f t="shared" si="0"/>
        <v>0.45579465000000002</v>
      </c>
      <c r="K23" t="s">
        <v>103</v>
      </c>
      <c r="L23" t="str">
        <f>IFERROR(VLOOKUP(VALUE(RIGHT(K23,1)),'Armée Ennemie'!I$12:J$19,2,FALSE),"")</f>
        <v>Tanks</v>
      </c>
      <c r="M23">
        <f>IFERROR(VALUE(VLOOKUP(L23,'Mon armée'!K$7:L$20,2,FALSE)),0)-IF(L23='Mon armée'!$K$7,'Calculs OS'!$L$13,0)</f>
        <v>306794632</v>
      </c>
      <c r="N23" s="18">
        <f>N22-(1+'Mon armée'!$I$10/10)*IFERROR(VLOOKUP('Calculs OS'!L22,'Résumés Armées'!B$2:C$15,2,FALSE),0)*P22</f>
        <v>43413842478.876305</v>
      </c>
      <c r="O23" s="17">
        <f>IFERROR(N23/((1+'Mon armée'!$I$10/10)*VLOOKUP(L23,'Résumés Armées'!B$2:C$15,2,FALSE)),0)</f>
        <v>254626642.10484636</v>
      </c>
      <c r="P23" s="17">
        <f>IF(O23&gt;M23,M23,O23)+IF(L23='Mon armée'!$K$7,'Calculs OS'!$L$13,0)</f>
        <v>254626642.10484636</v>
      </c>
    </row>
    <row r="24" spans="4:16">
      <c r="D24" t="s">
        <v>77</v>
      </c>
      <c r="E24" s="17">
        <v>20000000</v>
      </c>
      <c r="F24">
        <v>8937072</v>
      </c>
      <c r="G24" s="21">
        <f t="shared" si="0"/>
        <v>0.44685360000000002</v>
      </c>
      <c r="N24" s="18">
        <f>N23-(1+'Mon armée'!$I$10/10)*IFERROR(VLOOKUP('Calculs OS'!L23,'Résumés Armées'!B$2:C$15,2,FALSE),0)*P23</f>
        <v>0</v>
      </c>
      <c r="O24" s="17">
        <f>IFERROR(N24/((1+'Mon armée'!$I$10/10)*VLOOKUP(L24,'Résumés Armées'!B$2:C$15,2,FALSE)),0)</f>
        <v>0</v>
      </c>
      <c r="P24" s="17">
        <f t="shared" ref="P24:P30" si="1">IF(O24&gt;M24,M24,O24)</f>
        <v>0</v>
      </c>
    </row>
    <row r="25" spans="4:16">
      <c r="D25" t="s">
        <v>82</v>
      </c>
      <c r="E25" s="17">
        <v>20000000</v>
      </c>
      <c r="F25">
        <v>506915</v>
      </c>
      <c r="G25" s="21">
        <f t="shared" si="0"/>
        <v>2.534575E-2</v>
      </c>
      <c r="L25" t="s">
        <v>14</v>
      </c>
      <c r="M25">
        <f>IFERROR(VALUE(VLOOKUP(L25,'Mon armée'!K$7:L$20,2,FALSE)),0)</f>
        <v>4210641</v>
      </c>
      <c r="N25" s="18">
        <f>N24-(1+'Mon armée'!$I$10/10)*IFERROR(VLOOKUP('Calculs OS'!L24,'Résumés Armées'!B$2:C$15,2,FALSE),0)*P24</f>
        <v>0</v>
      </c>
      <c r="O25" s="17">
        <f>IFERROR(N25/((1+'Mon armée'!$I$10/10)*VLOOKUP(L25,'Résumés Armées'!B$2:C$15,2,FALSE)),0)</f>
        <v>0</v>
      </c>
      <c r="P25" s="17">
        <f t="shared" si="1"/>
        <v>0</v>
      </c>
    </row>
    <row r="26" spans="4:16">
      <c r="D26" t="s">
        <v>83</v>
      </c>
      <c r="E26" s="17">
        <v>20000000</v>
      </c>
      <c r="F26">
        <v>301468</v>
      </c>
      <c r="G26" s="21">
        <f t="shared" si="0"/>
        <v>1.5073400000000001E-2</v>
      </c>
      <c r="L26" t="s">
        <v>17</v>
      </c>
      <c r="M26">
        <f>IFERROR(VALUE(VLOOKUP(L26,'Mon armée'!K$7:L$20,2,FALSE)),0)</f>
        <v>7959787</v>
      </c>
      <c r="N26" s="18">
        <f>N25-(1+'Mon armée'!$I$10/10)*IFERROR(VLOOKUP('Calculs OS'!L25,'Résumés Armées'!B$2:C$15,2,FALSE),0)*P25</f>
        <v>0</v>
      </c>
      <c r="O26" s="17">
        <f>IFERROR(N26/((1+'Mon armée'!$I$10/10)*VLOOKUP(L26,'Résumés Armées'!B$2:C$15,2,FALSE)),0)</f>
        <v>0</v>
      </c>
      <c r="P26" s="17">
        <f t="shared" si="1"/>
        <v>0</v>
      </c>
    </row>
    <row r="27" spans="4:16">
      <c r="L27" t="s">
        <v>19</v>
      </c>
      <c r="M27">
        <f>IFERROR(VALUE(VLOOKUP(L27,'Mon armée'!K$7:L$20,2,FALSE)),0)</f>
        <v>0</v>
      </c>
      <c r="N27" s="18">
        <f>N26-(1+'Mon armée'!$I$10/10)*IFERROR(VLOOKUP('Calculs OS'!L26,'Résumés Armées'!B$2:C$15,2,FALSE),0)*P26</f>
        <v>0</v>
      </c>
      <c r="O27" s="17">
        <f>IFERROR(N27/((1+'Mon armée'!$I$10/10)*VLOOKUP(L27,'Résumés Armées'!B$2:C$15,2,FALSE)),0)</f>
        <v>0</v>
      </c>
      <c r="P27" s="17">
        <f t="shared" si="1"/>
        <v>0</v>
      </c>
    </row>
    <row r="28" spans="4:16">
      <c r="L28" t="s">
        <v>15</v>
      </c>
      <c r="M28">
        <f>IFERROR(VALUE(VLOOKUP(L28,'Mon armée'!K$7:L$20,2,FALSE)),0)</f>
        <v>28306378</v>
      </c>
      <c r="N28" s="18">
        <f>N27-(1+'Mon armée'!$I$10/10)*IFERROR(VLOOKUP('Calculs OS'!L27,'Résumés Armées'!B$2:C$15,2,FALSE),0)*P27</f>
        <v>0</v>
      </c>
      <c r="O28" s="17">
        <f>IFERROR(N28/((1+'Mon armée'!$I$10/10)*VLOOKUP(L28,'Résumés Armées'!B$2:C$15,2,FALSE)),0)</f>
        <v>0</v>
      </c>
      <c r="P28" s="17">
        <f t="shared" si="1"/>
        <v>0</v>
      </c>
    </row>
    <row r="29" spans="4:16">
      <c r="L29" t="s">
        <v>9</v>
      </c>
      <c r="M29">
        <f>IFERROR(VALUE(VLOOKUP(L29,'Mon armée'!K$7:L$20,2,FALSE)),0)</f>
        <v>3180604</v>
      </c>
      <c r="N29" s="18">
        <f>N28-(1+'Mon armée'!$I$10/10)*IFERROR(VLOOKUP('Calculs OS'!L28,'Résumés Armées'!B$2:C$15,2,FALSE),0)*P28</f>
        <v>0</v>
      </c>
      <c r="O29" s="17">
        <f>IFERROR(N29/((1+'Mon armée'!$I$10/10)*VLOOKUP(L29,'Résumés Armées'!B$2:C$15,2,FALSE)),0)</f>
        <v>0</v>
      </c>
      <c r="P29" s="17">
        <f t="shared" si="1"/>
        <v>0</v>
      </c>
    </row>
    <row r="30" spans="4:16">
      <c r="L30" t="s">
        <v>20</v>
      </c>
      <c r="M30">
        <f>IFERROR(VALUE(VLOOKUP(L30,'Mon armée'!K$7:L$20,2,FALSE)),0)</f>
        <v>0</v>
      </c>
      <c r="N30" s="18">
        <f>N29-(1+'Mon armée'!$I$10/10)*IFERROR(VLOOKUP('Calculs OS'!L29,'Résumés Armées'!B$2:C$15,2,FALSE),0)*P29</f>
        <v>0</v>
      </c>
      <c r="O30" s="17">
        <f>IFERROR(N30/((1+'Mon armée'!$I$10/10)*VLOOKUP(L30,'Résumés Armées'!B$2:C$15,2,FALSE)),0)</f>
        <v>0</v>
      </c>
      <c r="P30" s="17">
        <f t="shared" si="1"/>
        <v>0</v>
      </c>
    </row>
    <row r="31" spans="4:16">
      <c r="N31" s="18">
        <f>N30-(1+'Mon armée'!$I$10/10)*IFERROR(VLOOKUP('Calculs OS'!L30,'Résumés Armées'!B$2:C$15,2,FALSE),0)*P30</f>
        <v>0</v>
      </c>
    </row>
  </sheetData>
  <sortState ref="D13:G26">
    <sortCondition descending="1" ref="G13:G2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2:H20"/>
  <sheetViews>
    <sheetView workbookViewId="0">
      <selection activeCell="D23" sqref="D23"/>
    </sheetView>
  </sheetViews>
  <sheetFormatPr baseColWidth="10" defaultRowHeight="14.4"/>
  <cols>
    <col min="2" max="2" width="19.88671875" bestFit="1" customWidth="1"/>
    <col min="3" max="3" width="16.21875" bestFit="1" customWidth="1"/>
    <col min="5" max="5" width="18.6640625" bestFit="1" customWidth="1"/>
    <col min="7" max="7" width="19.88671875" bestFit="1" customWidth="1"/>
    <col min="8" max="8" width="18.6640625" bestFit="1" customWidth="1"/>
  </cols>
  <sheetData>
    <row r="2" spans="2:8">
      <c r="B2" s="2" t="s">
        <v>110</v>
      </c>
      <c r="C2" s="2" t="s">
        <v>25</v>
      </c>
      <c r="E2" s="29" t="s">
        <v>144</v>
      </c>
      <c r="G2" s="2" t="s">
        <v>117</v>
      </c>
      <c r="H2" s="2" t="s">
        <v>25</v>
      </c>
    </row>
    <row r="3" spans="2:8">
      <c r="B3" s="2" t="s">
        <v>7</v>
      </c>
      <c r="C3" s="5">
        <f>IF('Armée Ennemie'!I12=0,'Calculs OS'!L13,IFERROR(VLOOKUP(B3,'Calculs OS'!$L$15:$P$31,5,FALSE),0))</f>
        <v>39000000</v>
      </c>
      <c r="E3" s="31">
        <f>'Calcul XP'!C22</f>
        <v>64342.171317430009</v>
      </c>
      <c r="G3" s="2" t="s">
        <v>7</v>
      </c>
      <c r="H3" s="6">
        <f>'Mon armée'!L7-C3</f>
        <v>100376233</v>
      </c>
    </row>
    <row r="4" spans="2:8">
      <c r="B4" s="2" t="s">
        <v>8</v>
      </c>
      <c r="C4" s="5">
        <f>IFERROR(VLOOKUP(B4,'Calculs OS'!$L$15:$P$31,5,FALSE),0)</f>
        <v>0</v>
      </c>
      <c r="E4" s="31">
        <f>'Calcul XP'!C23</f>
        <v>0</v>
      </c>
      <c r="G4" s="2" t="s">
        <v>8</v>
      </c>
      <c r="H4" s="6">
        <f>'Mon armée'!L8-C4</f>
        <v>12276358</v>
      </c>
    </row>
    <row r="5" spans="2:8">
      <c r="B5" s="2" t="s">
        <v>9</v>
      </c>
      <c r="C5" s="5">
        <f>IFERROR(VLOOKUP(B5,'Calculs OS'!$L$15:$P$31,5,FALSE),0)</f>
        <v>0</v>
      </c>
      <c r="E5" s="31"/>
      <c r="G5" s="2" t="s">
        <v>9</v>
      </c>
      <c r="H5" s="6">
        <f>'Mon armée'!L9-C5</f>
        <v>3180604</v>
      </c>
    </row>
    <row r="6" spans="2:8">
      <c r="B6" s="2" t="s">
        <v>10</v>
      </c>
      <c r="C6" s="5">
        <f>IFERROR(VLOOKUP(B6,'Calculs OS'!$L$15:$P$31,5,FALSE),0)</f>
        <v>0</v>
      </c>
      <c r="E6" s="31">
        <f>'Calcul XP'!C25</f>
        <v>0</v>
      </c>
      <c r="G6" s="2" t="s">
        <v>10</v>
      </c>
      <c r="H6" s="6">
        <f>'Mon armée'!L10-C6</f>
        <v>1197759569</v>
      </c>
    </row>
    <row r="7" spans="2:8">
      <c r="B7" s="2" t="s">
        <v>11</v>
      </c>
      <c r="C7" s="5">
        <f>IFERROR(VLOOKUP(B7,'Calculs OS'!$L$15:$P$31,5,FALSE),0)</f>
        <v>0</v>
      </c>
      <c r="E7" s="31">
        <f>'Calcul XP'!C26</f>
        <v>0</v>
      </c>
      <c r="G7" s="2" t="s">
        <v>11</v>
      </c>
      <c r="H7" s="6">
        <f>'Mon armée'!L11-C7</f>
        <v>15426452</v>
      </c>
    </row>
    <row r="8" spans="2:8">
      <c r="B8" s="2" t="s">
        <v>12</v>
      </c>
      <c r="C8" s="5">
        <f>IFERROR(VLOOKUP(B8,'Calculs OS'!$L$15:$P$31,5,FALSE),0)</f>
        <v>0</v>
      </c>
      <c r="E8" s="31">
        <f>'Calcul XP'!C27</f>
        <v>0</v>
      </c>
      <c r="G8" s="2" t="s">
        <v>12</v>
      </c>
      <c r="H8" s="6">
        <f>'Mon armée'!L12-C8</f>
        <v>0</v>
      </c>
    </row>
    <row r="9" spans="2:8">
      <c r="B9" s="2" t="s">
        <v>20</v>
      </c>
      <c r="C9" s="5">
        <f>IFERROR(VLOOKUP(B9,'Calculs OS'!$L$15:$P$31,5,FALSE),0)</f>
        <v>0</v>
      </c>
      <c r="E9" s="31"/>
      <c r="G9" s="2" t="s">
        <v>20</v>
      </c>
      <c r="H9" s="6">
        <f>'Mon armée'!L13-C9</f>
        <v>0</v>
      </c>
    </row>
    <row r="10" spans="2:8">
      <c r="B10" s="2" t="s">
        <v>13</v>
      </c>
      <c r="C10" s="5">
        <f>IFERROR(VLOOKUP(B10,'Calculs OS'!$L$15:$P$31,5,FALSE),0)</f>
        <v>0</v>
      </c>
      <c r="E10" s="31">
        <f>'Calcul XP'!C29</f>
        <v>0</v>
      </c>
      <c r="G10" s="2" t="s">
        <v>13</v>
      </c>
      <c r="H10" s="6">
        <f>'Mon armée'!L14-C10</f>
        <v>43964</v>
      </c>
    </row>
    <row r="11" spans="2:8">
      <c r="B11" s="2" t="s">
        <v>14</v>
      </c>
      <c r="C11" s="5">
        <f>IFERROR(VLOOKUP(B11,'Calculs OS'!$L$15:$P$31,5,FALSE),0)</f>
        <v>0</v>
      </c>
      <c r="E11" s="31"/>
      <c r="G11" s="2" t="s">
        <v>14</v>
      </c>
      <c r="H11" s="6">
        <f>'Mon armée'!L15-C11</f>
        <v>4210641</v>
      </c>
    </row>
    <row r="12" spans="2:8">
      <c r="B12" s="2" t="s">
        <v>15</v>
      </c>
      <c r="C12" s="5">
        <f>IFERROR(VLOOKUP(B12,'Calculs OS'!$L$15:$P$31,5,FALSE),0)</f>
        <v>0</v>
      </c>
      <c r="E12" s="31"/>
      <c r="G12" s="2" t="s">
        <v>15</v>
      </c>
      <c r="H12" s="6">
        <f>'Mon armée'!L16-C12</f>
        <v>28306378</v>
      </c>
    </row>
    <row r="13" spans="2:8">
      <c r="B13" s="2" t="s">
        <v>16</v>
      </c>
      <c r="C13" s="5">
        <f>IFERROR(VLOOKUP(B13,'Calculs OS'!$L$15:$P$31,5,FALSE),0)</f>
        <v>254626642.10484636</v>
      </c>
      <c r="E13" s="31">
        <f>'Calcul XP'!C32</f>
        <v>186616293.56416902</v>
      </c>
      <c r="G13" s="2" t="s">
        <v>16</v>
      </c>
      <c r="H13" s="6">
        <f>'Mon armée'!L17-C13</f>
        <v>52167989.895153642</v>
      </c>
    </row>
    <row r="14" spans="2:8">
      <c r="B14" s="2" t="s">
        <v>17</v>
      </c>
      <c r="C14" s="5">
        <f>IFERROR(VLOOKUP(B14,'Calculs OS'!$L$15:$P$31,5,FALSE),0)</f>
        <v>0</v>
      </c>
      <c r="E14" s="31"/>
      <c r="G14" s="2" t="s">
        <v>17</v>
      </c>
      <c r="H14" s="6">
        <f>'Mon armée'!L18-C14</f>
        <v>7959787</v>
      </c>
    </row>
    <row r="15" spans="2:8">
      <c r="B15" s="2" t="s">
        <v>18</v>
      </c>
      <c r="C15" s="5">
        <f>IFERROR(VLOOKUP(B15,'Calculs OS'!$L$15:$P$31,5,FALSE),0)</f>
        <v>0</v>
      </c>
      <c r="E15" s="31">
        <f>'Calcul XP'!C34</f>
        <v>0</v>
      </c>
      <c r="G15" s="2" t="s">
        <v>18</v>
      </c>
      <c r="H15" s="6">
        <f>'Mon armée'!L19-C15</f>
        <v>2</v>
      </c>
    </row>
    <row r="16" spans="2:8">
      <c r="B16" s="2" t="s">
        <v>19</v>
      </c>
      <c r="C16" s="5">
        <f>IFERROR(VLOOKUP(B16,'Calculs OS'!$L$15:$P$31,5,FALSE),0)</f>
        <v>0</v>
      </c>
      <c r="E16" s="31"/>
      <c r="G16" s="2" t="s">
        <v>19</v>
      </c>
      <c r="H16" s="6">
        <f>'Mon armée'!L20-C16</f>
        <v>0</v>
      </c>
    </row>
    <row r="17" spans="2:8">
      <c r="E17" s="2" t="s">
        <v>145</v>
      </c>
    </row>
    <row r="18" spans="2:8">
      <c r="B18" s="2" t="s">
        <v>118</v>
      </c>
      <c r="C18" s="5">
        <f>(C3*3+C4*5+C5*7+C6*10+C7*15+C8+C9+C10*30+C11*35+C12*24+C13*55+C14*80+C15*50+C16*55)*(1+'Mon armée'!$I10/10)</f>
        <v>43776542478.876305</v>
      </c>
      <c r="E18" s="5">
        <f>(E3*(5-3)+E4*(7-5)+E6*(15-10)+E7*(24-15)+E10*(35-5)+E13*(80-55)+E15*(55-50))*(1+'Mon armée'!I10/10)</f>
        <v>14463161672.685266</v>
      </c>
      <c r="G18" s="2" t="s">
        <v>118</v>
      </c>
      <c r="H18" s="5">
        <f>(H3*3+H4*5+H5*7+H6*10+H7*15+H8+H9+H10*30+H11*35+H12*24+H13*55+H14*80+H15*50+H16*55)*(1+'Mon armée'!$I10/10)</f>
        <v>52476285766.523697</v>
      </c>
    </row>
    <row r="20" spans="2:8">
      <c r="D20" s="2" t="s">
        <v>146</v>
      </c>
      <c r="E20" s="6">
        <f>C18+E18+H18</f>
        <v>110715989918.08527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P35"/>
  <sheetViews>
    <sheetView topLeftCell="A16" workbookViewId="0">
      <selection activeCell="C23" sqref="C23"/>
    </sheetView>
  </sheetViews>
  <sheetFormatPr baseColWidth="10" defaultRowHeight="14.4"/>
  <cols>
    <col min="2" max="2" width="13.6640625" bestFit="1" customWidth="1"/>
    <col min="3" max="3" width="18.6640625" bestFit="1" customWidth="1"/>
    <col min="11" max="11" width="12.44140625" customWidth="1"/>
    <col min="12" max="12" width="21.77734375" bestFit="1" customWidth="1"/>
  </cols>
  <sheetData>
    <row r="1" spans="1:16">
      <c r="A1" s="2" t="s">
        <v>26</v>
      </c>
      <c r="B1" s="2" t="s">
        <v>27</v>
      </c>
      <c r="C1" s="2" t="s">
        <v>28</v>
      </c>
      <c r="D1" s="2" t="s">
        <v>29</v>
      </c>
      <c r="G1" t="s">
        <v>115</v>
      </c>
      <c r="I1" t="s">
        <v>119</v>
      </c>
      <c r="J1" t="s">
        <v>120</v>
      </c>
      <c r="O1" t="s">
        <v>121</v>
      </c>
      <c r="P1" t="s">
        <v>122</v>
      </c>
    </row>
    <row r="2" spans="1:16">
      <c r="A2" s="2" t="s">
        <v>7</v>
      </c>
      <c r="B2" s="2">
        <v>3</v>
      </c>
      <c r="C2" s="2">
        <v>2</v>
      </c>
      <c r="D2" s="2">
        <v>8</v>
      </c>
      <c r="F2" s="2" t="s">
        <v>7</v>
      </c>
      <c r="G2" s="24">
        <v>1</v>
      </c>
      <c r="I2" t="str">
        <f>'Résumés Armées'!G19</f>
        <v>41 848 753</v>
      </c>
      <c r="J2">
        <f>'Opti XP'!C3</f>
        <v>39000000</v>
      </c>
      <c r="L2" s="2" t="s">
        <v>116</v>
      </c>
      <c r="M2" s="25">
        <v>0.85</v>
      </c>
      <c r="O2">
        <f>I2*G2</f>
        <v>41848753</v>
      </c>
      <c r="P2">
        <f>J2*G2</f>
        <v>39000000</v>
      </c>
    </row>
    <row r="3" spans="1:16">
      <c r="A3" s="2" t="s">
        <v>8</v>
      </c>
      <c r="B3" s="2">
        <v>5</v>
      </c>
      <c r="C3" s="2">
        <v>4</v>
      </c>
      <c r="D3" s="2">
        <v>10</v>
      </c>
      <c r="F3" s="2" t="s">
        <v>8</v>
      </c>
      <c r="G3" s="24">
        <v>1.4705882400000001</v>
      </c>
      <c r="I3" t="str">
        <f>'Résumés Armées'!G20</f>
        <v>10 425 997</v>
      </c>
      <c r="J3">
        <f>'Opti XP'!C4</f>
        <v>0</v>
      </c>
      <c r="O3">
        <f t="shared" ref="O3:O15" si="0">I3*G3</f>
        <v>15332348.578475282</v>
      </c>
      <c r="P3">
        <f t="shared" ref="P3:P15" si="1">J3*G3</f>
        <v>0</v>
      </c>
    </row>
    <row r="4" spans="1:16">
      <c r="A4" s="2" t="s">
        <v>9</v>
      </c>
      <c r="B4" s="2">
        <v>7</v>
      </c>
      <c r="C4" s="2">
        <v>6</v>
      </c>
      <c r="D4" s="2">
        <v>13</v>
      </c>
      <c r="F4" s="2" t="s">
        <v>9</v>
      </c>
      <c r="G4" s="24">
        <v>2</v>
      </c>
      <c r="I4" t="str">
        <f>'Résumés Armées'!G21</f>
        <v>59 641 413</v>
      </c>
      <c r="J4">
        <f>'Opti XP'!C5</f>
        <v>0</v>
      </c>
      <c r="O4">
        <f t="shared" si="0"/>
        <v>119282826</v>
      </c>
      <c r="P4">
        <f t="shared" si="1"/>
        <v>0</v>
      </c>
    </row>
    <row r="5" spans="1:16">
      <c r="A5" s="2" t="s">
        <v>10</v>
      </c>
      <c r="B5" s="2">
        <v>10</v>
      </c>
      <c r="C5" s="2">
        <v>9</v>
      </c>
      <c r="D5" s="2">
        <v>16</v>
      </c>
      <c r="F5" s="2" t="s">
        <v>10</v>
      </c>
      <c r="G5" s="24">
        <v>2.6705969999999999</v>
      </c>
      <c r="I5" t="str">
        <f>'Résumés Armées'!G22</f>
        <v>1 830 811</v>
      </c>
      <c r="J5">
        <f>'Opti XP'!C6</f>
        <v>0</v>
      </c>
      <c r="O5">
        <f t="shared" si="0"/>
        <v>4889358.3641670002</v>
      </c>
      <c r="P5">
        <f t="shared" si="1"/>
        <v>0</v>
      </c>
    </row>
    <row r="6" spans="1:16">
      <c r="A6" s="2" t="s">
        <v>11</v>
      </c>
      <c r="B6" s="2">
        <v>15</v>
      </c>
      <c r="C6" s="2">
        <v>14</v>
      </c>
      <c r="D6" s="2">
        <v>20</v>
      </c>
      <c r="F6" s="2" t="s">
        <v>11</v>
      </c>
      <c r="G6" s="24">
        <v>3.670585</v>
      </c>
      <c r="I6" t="str">
        <f>'Résumés Armées'!G23</f>
        <v>4 915 866</v>
      </c>
      <c r="J6">
        <f>'Opti XP'!C7</f>
        <v>0</v>
      </c>
      <c r="O6">
        <f t="shared" si="0"/>
        <v>18044104.00161</v>
      </c>
      <c r="P6">
        <f t="shared" si="1"/>
        <v>0</v>
      </c>
    </row>
    <row r="7" spans="1:16">
      <c r="A7" s="2" t="s">
        <v>12</v>
      </c>
      <c r="B7" s="2">
        <v>1</v>
      </c>
      <c r="C7" s="2">
        <v>25</v>
      </c>
      <c r="D7" s="2">
        <v>30</v>
      </c>
      <c r="F7" s="2" t="s">
        <v>12</v>
      </c>
      <c r="G7" s="24">
        <v>5.1059000000000001</v>
      </c>
      <c r="I7" t="str">
        <f>'Résumés Armées'!G24</f>
        <v>29 931</v>
      </c>
      <c r="J7">
        <f>'Opti XP'!C8</f>
        <v>0</v>
      </c>
      <c r="O7">
        <f t="shared" si="0"/>
        <v>152824.69289999999</v>
      </c>
      <c r="P7">
        <f t="shared" si="1"/>
        <v>0</v>
      </c>
    </row>
    <row r="8" spans="1:16">
      <c r="A8" s="2" t="s">
        <v>20</v>
      </c>
      <c r="B8" s="2">
        <v>1</v>
      </c>
      <c r="C8" s="2">
        <v>35</v>
      </c>
      <c r="D8" s="2">
        <v>40</v>
      </c>
      <c r="F8" s="2" t="s">
        <v>20</v>
      </c>
      <c r="G8" s="24">
        <v>6.9647500000000004</v>
      </c>
      <c r="I8" t="str">
        <f>'Résumés Armées'!G25</f>
        <v>69</v>
      </c>
      <c r="J8">
        <f>'Opti XP'!C9</f>
        <v>0</v>
      </c>
      <c r="O8">
        <f t="shared" si="0"/>
        <v>480.56775000000005</v>
      </c>
      <c r="P8">
        <f t="shared" si="1"/>
        <v>0</v>
      </c>
    </row>
    <row r="9" spans="1:16">
      <c r="A9" s="2" t="s">
        <v>13</v>
      </c>
      <c r="B9" s="2">
        <v>30</v>
      </c>
      <c r="C9" s="2">
        <v>15</v>
      </c>
      <c r="D9" s="2">
        <v>10</v>
      </c>
      <c r="F9" s="2" t="s">
        <v>13</v>
      </c>
      <c r="G9" s="24">
        <v>3.4705499999999998</v>
      </c>
      <c r="I9">
        <f>'Résumés Armées'!G26</f>
        <v>0</v>
      </c>
      <c r="J9">
        <f>'Opti XP'!C10</f>
        <v>0</v>
      </c>
      <c r="O9">
        <f t="shared" si="0"/>
        <v>0</v>
      </c>
      <c r="P9">
        <f t="shared" si="1"/>
        <v>0</v>
      </c>
    </row>
    <row r="10" spans="1:16">
      <c r="A10" s="2" t="s">
        <v>14</v>
      </c>
      <c r="B10" s="2">
        <v>35</v>
      </c>
      <c r="C10" s="2">
        <v>18</v>
      </c>
      <c r="D10" s="2">
        <v>12</v>
      </c>
      <c r="F10" s="2" t="s">
        <v>14</v>
      </c>
      <c r="G10" s="24">
        <v>4.1059000000000001</v>
      </c>
      <c r="I10" t="str">
        <f>'Résumés Armées'!G27</f>
        <v>2 206 299</v>
      </c>
      <c r="J10">
        <f>'Opti XP'!C11</f>
        <v>0</v>
      </c>
      <c r="O10">
        <f t="shared" si="0"/>
        <v>9058843.064100001</v>
      </c>
      <c r="P10">
        <f t="shared" si="1"/>
        <v>0</v>
      </c>
    </row>
    <row r="11" spans="1:16">
      <c r="A11" s="2" t="s">
        <v>15</v>
      </c>
      <c r="B11" s="2">
        <v>24</v>
      </c>
      <c r="C11" s="2">
        <v>23</v>
      </c>
      <c r="D11" s="2">
        <v>27</v>
      </c>
      <c r="F11" s="2" t="s">
        <v>15</v>
      </c>
      <c r="G11" s="24">
        <v>5.4117660000000001</v>
      </c>
      <c r="I11" t="str">
        <f>'Résumés Armées'!G28</f>
        <v>101 325 583</v>
      </c>
      <c r="J11">
        <f>'Opti XP'!C12</f>
        <v>0</v>
      </c>
      <c r="O11">
        <f t="shared" si="0"/>
        <v>548350345.00957799</v>
      </c>
      <c r="P11">
        <f t="shared" si="1"/>
        <v>0</v>
      </c>
    </row>
    <row r="12" spans="1:16">
      <c r="A12" s="2" t="s">
        <v>16</v>
      </c>
      <c r="B12" s="2">
        <v>55</v>
      </c>
      <c r="C12" s="2">
        <v>1</v>
      </c>
      <c r="D12" s="2">
        <v>35</v>
      </c>
      <c r="F12" s="2" t="s">
        <v>16</v>
      </c>
      <c r="G12" s="24">
        <v>7.5529500000000001</v>
      </c>
      <c r="I12" t="str">
        <f>'Résumés Armées'!G29</f>
        <v>1 819 705</v>
      </c>
      <c r="J12">
        <f>'Opti XP'!C13</f>
        <v>254626642.10484636</v>
      </c>
      <c r="O12">
        <f t="shared" si="0"/>
        <v>13744140.87975</v>
      </c>
      <c r="P12">
        <f t="shared" si="1"/>
        <v>1923182296.4857993</v>
      </c>
    </row>
    <row r="13" spans="1:16">
      <c r="A13" s="2" t="s">
        <v>17</v>
      </c>
      <c r="B13" s="2">
        <v>80</v>
      </c>
      <c r="C13" s="2">
        <v>1</v>
      </c>
      <c r="D13" s="2">
        <v>50</v>
      </c>
      <c r="F13" s="2" t="s">
        <v>17</v>
      </c>
      <c r="G13" s="26">
        <v>11.6471</v>
      </c>
      <c r="I13" t="str">
        <f>'Résumés Armées'!G30</f>
        <v>45 074 845</v>
      </c>
      <c r="J13">
        <f>'Opti XP'!C14</f>
        <v>0</v>
      </c>
      <c r="O13">
        <f t="shared" si="0"/>
        <v>524991227.19950002</v>
      </c>
      <c r="P13">
        <f t="shared" si="1"/>
        <v>0</v>
      </c>
    </row>
    <row r="14" spans="1:16">
      <c r="A14" s="2" t="s">
        <v>18</v>
      </c>
      <c r="B14" s="2">
        <v>50</v>
      </c>
      <c r="C14" s="2">
        <v>50</v>
      </c>
      <c r="D14" s="2">
        <v>50</v>
      </c>
      <c r="F14" s="2" t="s">
        <v>18</v>
      </c>
      <c r="G14" s="24">
        <v>10.694125</v>
      </c>
      <c r="I14" t="str">
        <f>'Résumés Armées'!G31</f>
        <v>11 542</v>
      </c>
      <c r="J14">
        <f>'Opti XP'!C15</f>
        <v>0</v>
      </c>
      <c r="O14">
        <f t="shared" si="0"/>
        <v>123431.59075</v>
      </c>
      <c r="P14">
        <f t="shared" si="1"/>
        <v>0</v>
      </c>
    </row>
    <row r="15" spans="1:16">
      <c r="A15" s="2" t="s">
        <v>19</v>
      </c>
      <c r="B15" s="2">
        <v>55</v>
      </c>
      <c r="C15" s="2">
        <v>55</v>
      </c>
      <c r="D15" s="2">
        <v>55</v>
      </c>
      <c r="F15" s="2" t="s">
        <v>19</v>
      </c>
      <c r="G15" s="24">
        <v>11.764725</v>
      </c>
      <c r="I15" t="str">
        <f>'Résumés Armées'!G32</f>
        <v>465 174</v>
      </c>
      <c r="J15">
        <f>'Opti XP'!C16</f>
        <v>0</v>
      </c>
      <c r="O15">
        <f t="shared" si="0"/>
        <v>5472644.1871500006</v>
      </c>
      <c r="P15">
        <f t="shared" si="1"/>
        <v>0</v>
      </c>
    </row>
    <row r="16" spans="1:16">
      <c r="N16" t="s">
        <v>123</v>
      </c>
      <c r="O16">
        <f>SUM(O2:O15)</f>
        <v>1301291327.1357303</v>
      </c>
      <c r="P16">
        <f>SUM(P2:P15)</f>
        <v>1962182296.4857993</v>
      </c>
    </row>
    <row r="17" spans="2:4">
      <c r="B17" t="s">
        <v>124</v>
      </c>
      <c r="C17">
        <f>(O16/P16)^2*43.56</f>
        <v>19.158355849085773</v>
      </c>
    </row>
    <row r="18" spans="2:4">
      <c r="B18" t="s">
        <v>138</v>
      </c>
      <c r="C18">
        <f>C17*(1+'Mon armée'!I18/10)</f>
        <v>32.569204943445811</v>
      </c>
    </row>
    <row r="19" spans="2:4">
      <c r="B19" t="s">
        <v>140</v>
      </c>
      <c r="C19">
        <f>C18*(1+'Armée Ennemie'!I7/10)*(1+'Armée Ennemie'!J7/10)</f>
        <v>681.59856164310588</v>
      </c>
    </row>
    <row r="20" spans="2:4">
      <c r="B20" t="s">
        <v>141</v>
      </c>
      <c r="C20">
        <f>C19/(1+'Mon armée'!I12/10)/(1+'Mon armée'!I10/10)</f>
        <v>73.290167918613534</v>
      </c>
    </row>
    <row r="22" spans="2:4">
      <c r="B22" t="s">
        <v>142</v>
      </c>
      <c r="C22" s="17">
        <f>(J2-'Calculs OS'!F8)*$C$20/100</f>
        <v>64342.171317430009</v>
      </c>
      <c r="D22" t="s">
        <v>7</v>
      </c>
    </row>
    <row r="23" spans="2:4">
      <c r="C23" s="17">
        <f>J3*$C$20/100</f>
        <v>0</v>
      </c>
      <c r="D23" t="s">
        <v>8</v>
      </c>
    </row>
    <row r="24" spans="2:4">
      <c r="C24" s="17" t="s">
        <v>143</v>
      </c>
      <c r="D24" t="s">
        <v>9</v>
      </c>
    </row>
    <row r="25" spans="2:4">
      <c r="C25" s="17">
        <f>J5*$C$20/100</f>
        <v>0</v>
      </c>
      <c r="D25" t="s">
        <v>10</v>
      </c>
    </row>
    <row r="26" spans="2:4">
      <c r="C26" s="17">
        <f>J6*$C$20/100</f>
        <v>0</v>
      </c>
      <c r="D26" t="s">
        <v>11</v>
      </c>
    </row>
    <row r="27" spans="2:4">
      <c r="C27" s="17">
        <f>J7*$C$20/100</f>
        <v>0</v>
      </c>
      <c r="D27" t="s">
        <v>12</v>
      </c>
    </row>
    <row r="28" spans="2:4">
      <c r="C28" s="17" t="s">
        <v>143</v>
      </c>
      <c r="D28" t="s">
        <v>20</v>
      </c>
    </row>
    <row r="29" spans="2:4">
      <c r="C29" s="17">
        <f>J9*$C$20/100</f>
        <v>0</v>
      </c>
      <c r="D29" t="s">
        <v>13</v>
      </c>
    </row>
    <row r="30" spans="2:4">
      <c r="C30" s="17" t="s">
        <v>143</v>
      </c>
      <c r="D30" t="s">
        <v>14</v>
      </c>
    </row>
    <row r="31" spans="2:4">
      <c r="C31" s="17" t="s">
        <v>143</v>
      </c>
      <c r="D31" t="s">
        <v>15</v>
      </c>
    </row>
    <row r="32" spans="2:4">
      <c r="C32" s="17">
        <f>J12*$C$20/100</f>
        <v>186616293.56416902</v>
      </c>
      <c r="D32" t="s">
        <v>16</v>
      </c>
    </row>
    <row r="33" spans="3:4">
      <c r="C33" s="17" t="s">
        <v>143</v>
      </c>
      <c r="D33" t="s">
        <v>17</v>
      </c>
    </row>
    <row r="34" spans="3:4">
      <c r="C34" s="17">
        <f>J14*$C$20/100</f>
        <v>0</v>
      </c>
      <c r="D34" t="s">
        <v>18</v>
      </c>
    </row>
    <row r="35" spans="3:4">
      <c r="C35" s="17" t="s">
        <v>143</v>
      </c>
      <c r="D35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Mon armée</vt:lpstr>
      <vt:lpstr>Armée Ennemie</vt:lpstr>
      <vt:lpstr>Data</vt:lpstr>
      <vt:lpstr>Résumés Armées</vt:lpstr>
      <vt:lpstr>Calculs OS</vt:lpstr>
      <vt:lpstr>Opti XP</vt:lpstr>
      <vt:lpstr>Calcul XP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Boullenger</dc:creator>
  <cp:lastModifiedBy>Thomas Boullenger</cp:lastModifiedBy>
  <dcterms:created xsi:type="dcterms:W3CDTF">2013-05-23T16:37:04Z</dcterms:created>
  <dcterms:modified xsi:type="dcterms:W3CDTF">2013-05-28T20:50:24Z</dcterms:modified>
</cp:coreProperties>
</file>