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45" windowWidth="23715" windowHeight="10035"/>
  </bookViews>
  <sheets>
    <sheet name="Feuil1" sheetId="1" r:id="rId1"/>
    <sheet name="Feuil2" sheetId="2" r:id="rId2"/>
    <sheet name="Feuil3" sheetId="3" r:id="rId3"/>
  </sheets>
  <calcPr calcId="145621"/>
</workbook>
</file>

<file path=xl/calcChain.xml><?xml version="1.0" encoding="utf-8"?>
<calcChain xmlns="http://schemas.openxmlformats.org/spreadsheetml/2006/main">
  <c r="D72" i="1" l="1"/>
  <c r="D71" i="1"/>
  <c r="D70" i="1"/>
  <c r="D69" i="1"/>
  <c r="D68" i="1"/>
  <c r="D67" i="1"/>
  <c r="I66" i="1"/>
  <c r="H66" i="1"/>
  <c r="P30" i="1" s="1"/>
  <c r="D66" i="1"/>
  <c r="Q65" i="1"/>
  <c r="Q66" i="1" s="1"/>
  <c r="Q34" i="1" s="1"/>
  <c r="P65" i="1"/>
  <c r="P66" i="1" s="1"/>
  <c r="P34" i="1" s="1"/>
  <c r="J55" i="1" s="1"/>
  <c r="O55" i="1" s="1"/>
  <c r="K65" i="1"/>
  <c r="K66" i="1" s="1"/>
  <c r="Q31" i="1" s="1"/>
  <c r="J65" i="1"/>
  <c r="J66" i="1" s="1"/>
  <c r="P31" i="1" s="1"/>
  <c r="I65" i="1"/>
  <c r="H65" i="1"/>
  <c r="D65" i="1"/>
  <c r="D64" i="1"/>
  <c r="D63" i="1"/>
  <c r="D62" i="1"/>
  <c r="D61" i="1"/>
  <c r="D60" i="1"/>
  <c r="D59" i="1"/>
  <c r="D58" i="1"/>
  <c r="D57" i="1"/>
  <c r="I55" i="1"/>
  <c r="N55" i="1" s="1"/>
  <c r="H55" i="1"/>
  <c r="M55" i="1" s="1"/>
  <c r="T48" i="1"/>
  <c r="S48" i="1"/>
  <c r="C43" i="1"/>
  <c r="I43" i="1" s="1"/>
  <c r="I45" i="1" s="1"/>
  <c r="I47" i="1" s="1"/>
  <c r="N42" i="1"/>
  <c r="M42" i="1"/>
  <c r="N40" i="1"/>
  <c r="B41" i="1"/>
  <c r="B40" i="1"/>
  <c r="N39" i="1" s="1"/>
  <c r="B39" i="1"/>
  <c r="N38" i="1" s="1"/>
  <c r="B38" i="1"/>
  <c r="B37" i="1"/>
  <c r="N36" i="1" s="1"/>
  <c r="B36" i="1"/>
  <c r="B35" i="1"/>
  <c r="M34" i="1" s="1"/>
  <c r="M33" i="1"/>
  <c r="B34" i="1"/>
  <c r="N32" i="1"/>
  <c r="B33" i="1"/>
  <c r="B32" i="1"/>
  <c r="M30" i="1"/>
  <c r="Q30" i="1"/>
  <c r="T22" i="1"/>
  <c r="U22" i="1" s="1"/>
  <c r="C23" i="1" s="1"/>
  <c r="S22" i="1"/>
  <c r="I17" i="1"/>
  <c r="I19" i="1" s="1"/>
  <c r="I21" i="1" s="1"/>
  <c r="D17" i="1" s="1"/>
  <c r="N16" i="1"/>
  <c r="M16" i="1"/>
  <c r="D15" i="1"/>
  <c r="C15" i="1"/>
  <c r="N14" i="1"/>
  <c r="M14" i="1"/>
  <c r="D14" i="1"/>
  <c r="C14" i="1"/>
  <c r="N13" i="1"/>
  <c r="M13" i="1"/>
  <c r="D13" i="1"/>
  <c r="C13" i="1"/>
  <c r="N12" i="1"/>
  <c r="M12" i="1"/>
  <c r="D12" i="1"/>
  <c r="C12" i="1"/>
  <c r="N11" i="1"/>
  <c r="M11" i="1"/>
  <c r="D11" i="1"/>
  <c r="C11" i="1"/>
  <c r="N10" i="1"/>
  <c r="M10" i="1"/>
  <c r="D10" i="1"/>
  <c r="C10" i="1"/>
  <c r="N9" i="1"/>
  <c r="M9" i="1"/>
  <c r="D9" i="1"/>
  <c r="C9" i="1"/>
  <c r="N8" i="1"/>
  <c r="M8" i="1"/>
  <c r="P17" i="1"/>
  <c r="O17" i="1"/>
  <c r="O18" i="1" s="1"/>
  <c r="O19" i="1" s="1"/>
  <c r="O20" i="1" s="1"/>
  <c r="O21" i="1" s="1"/>
  <c r="O22" i="1" s="1"/>
  <c r="D8" i="1"/>
  <c r="C8" i="1"/>
  <c r="N7" i="1"/>
  <c r="M7" i="1"/>
  <c r="D7" i="1"/>
  <c r="C7" i="1"/>
  <c r="N6" i="1"/>
  <c r="M6" i="1"/>
  <c r="D6" i="1"/>
  <c r="C6" i="1"/>
  <c r="N5" i="1"/>
  <c r="M5" i="1"/>
  <c r="D5" i="1"/>
  <c r="C5" i="1"/>
  <c r="N4" i="1"/>
  <c r="M4" i="1"/>
  <c r="D36" i="1" l="1"/>
  <c r="U48" i="1"/>
  <c r="V48" i="1"/>
  <c r="D32" i="1"/>
  <c r="D38" i="1"/>
  <c r="K55" i="1"/>
  <c r="C16" i="1"/>
  <c r="J17" i="1" s="1"/>
  <c r="J18" i="1" s="1"/>
  <c r="J19" i="1" s="1"/>
  <c r="J20" i="1" s="1"/>
  <c r="J21" i="1" s="1"/>
  <c r="J22" i="1" s="1"/>
  <c r="J23" i="1" s="1"/>
  <c r="I23" i="1" s="1"/>
  <c r="H23" i="1" s="1"/>
  <c r="D16" i="1"/>
  <c r="K17" i="1" s="1"/>
  <c r="K18" i="1" s="1"/>
  <c r="K19" i="1" s="1"/>
  <c r="K20" i="1" s="1"/>
  <c r="K21" i="1" s="1"/>
  <c r="K22" i="1" s="1"/>
  <c r="K23" i="1" s="1"/>
  <c r="M37" i="1"/>
  <c r="V22" i="1"/>
  <c r="N37" i="1"/>
  <c r="D43" i="1"/>
  <c r="N41" i="1" s="1"/>
  <c r="N30" i="1"/>
  <c r="N34" i="1"/>
  <c r="O23" i="1"/>
  <c r="D35" i="1"/>
  <c r="D31" i="1"/>
  <c r="D40" i="1"/>
  <c r="D34" i="1"/>
  <c r="D33" i="1"/>
  <c r="C37" i="1"/>
  <c r="D41" i="1"/>
  <c r="M15" i="1"/>
  <c r="M17" i="1" s="1"/>
  <c r="N15" i="1"/>
  <c r="N17" i="1" s="1"/>
  <c r="I2" i="1" s="1"/>
  <c r="D39" i="1"/>
  <c r="P18" i="1"/>
  <c r="P19" i="1" s="1"/>
  <c r="P20" i="1" s="1"/>
  <c r="P21" i="1" s="1"/>
  <c r="P22" i="1" s="1"/>
  <c r="P23" i="1" s="1"/>
  <c r="C40" i="1"/>
  <c r="C34" i="1"/>
  <c r="C35" i="1"/>
  <c r="C41" i="1"/>
  <c r="C31" i="1"/>
  <c r="M32" i="1"/>
  <c r="C36" i="1"/>
  <c r="M31" i="1"/>
  <c r="M35" i="1"/>
  <c r="N31" i="1"/>
  <c r="N35" i="1"/>
  <c r="M36" i="1"/>
  <c r="M38" i="1"/>
  <c r="M39" i="1"/>
  <c r="N33" i="1"/>
  <c r="D37" i="1"/>
  <c r="C38" i="1"/>
  <c r="M40" i="1"/>
  <c r="C32" i="1"/>
  <c r="C33" i="1"/>
  <c r="C39" i="1"/>
  <c r="M41" i="1" l="1"/>
  <c r="D24" i="1"/>
  <c r="N43" i="1"/>
  <c r="M43" i="1"/>
  <c r="C24" i="1"/>
  <c r="T26" i="1" s="1"/>
  <c r="T27" i="1" s="1"/>
  <c r="D42" i="1"/>
  <c r="K43" i="1" s="1"/>
  <c r="K44" i="1" s="1"/>
  <c r="K45" i="1" s="1"/>
  <c r="K46" i="1" s="1"/>
  <c r="K47" i="1" s="1"/>
  <c r="K48" i="1" s="1"/>
  <c r="K49" i="1" s="1"/>
  <c r="P43" i="1"/>
  <c r="P44" i="1" s="1"/>
  <c r="P45" i="1" s="1"/>
  <c r="P46" i="1" s="1"/>
  <c r="P47" i="1" s="1"/>
  <c r="P48" i="1" s="1"/>
  <c r="P49" i="1" s="1"/>
  <c r="C42" i="1"/>
  <c r="J43" i="1" s="1"/>
  <c r="J44" i="1" s="1"/>
  <c r="J45" i="1" s="1"/>
  <c r="J46" i="1" s="1"/>
  <c r="J47" i="1" s="1"/>
  <c r="J48" i="1" s="1"/>
  <c r="J49" i="1" s="1"/>
  <c r="O43" i="1"/>
  <c r="O44" i="1" s="1"/>
  <c r="O45" i="1" s="1"/>
  <c r="O46" i="1" s="1"/>
  <c r="O47" i="1" s="1"/>
  <c r="O48" i="1" s="1"/>
  <c r="O49" i="1" s="1"/>
  <c r="J25" i="1"/>
  <c r="I25" i="1" l="1"/>
  <c r="K25" i="1" s="1"/>
  <c r="C25" i="1" s="1"/>
  <c r="I49" i="1"/>
  <c r="H49" i="1" s="1"/>
  <c r="D50" i="1" l="1"/>
  <c r="J51" i="1" s="1"/>
  <c r="C50" i="1"/>
  <c r="T55" i="1" s="1"/>
  <c r="T56" i="1" s="1"/>
  <c r="I51" i="1" l="1"/>
  <c r="K51" i="1" s="1"/>
</calcChain>
</file>

<file path=xl/sharedStrings.xml><?xml version="1.0" encoding="utf-8"?>
<sst xmlns="http://schemas.openxmlformats.org/spreadsheetml/2006/main" count="138" uniqueCount="56">
  <si>
    <t>Vous</t>
  </si>
  <si>
    <t>352 Defense</t>
  </si>
  <si>
    <t>% Joueurs</t>
  </si>
  <si>
    <t>Attaque</t>
  </si>
  <si>
    <t xml:space="preserve">Defense </t>
  </si>
  <si>
    <t>Total sans bonus:</t>
  </si>
  <si>
    <t>Bonus XP équipe:</t>
  </si>
  <si>
    <t>Chance:</t>
  </si>
  <si>
    <t>Domicile:</t>
  </si>
  <si>
    <t>Bonus Cap:</t>
  </si>
  <si>
    <t>Météo:</t>
  </si>
  <si>
    <t>Agressivité:</t>
  </si>
  <si>
    <t>Bonus stratégique:</t>
  </si>
  <si>
    <t>Total avec bonus:</t>
  </si>
  <si>
    <t>j1 attaque</t>
  </si>
  <si>
    <t>j1 def</t>
  </si>
  <si>
    <t>j2 attaque</t>
  </si>
  <si>
    <t>j2 def</t>
  </si>
  <si>
    <t>j1 atta</t>
  </si>
  <si>
    <t>j2 atta</t>
  </si>
  <si>
    <t>352 Attaque</t>
  </si>
  <si>
    <t>352 Equilibre</t>
  </si>
  <si>
    <t>433 Attaque</t>
  </si>
  <si>
    <t>433 Defense</t>
  </si>
  <si>
    <t>433 Equilibre</t>
  </si>
  <si>
    <t>442 Attaque</t>
  </si>
  <si>
    <t>442 Defense</t>
  </si>
  <si>
    <t>442 Equilibre</t>
  </si>
  <si>
    <t>541 Attaque</t>
  </si>
  <si>
    <t>541 Defense</t>
  </si>
  <si>
    <t>541 Equilbre</t>
  </si>
  <si>
    <t>Vous écrasez votre adversaire avec un bon 433 off sans forcer :)</t>
  </si>
  <si>
    <t>Vos mieux être prudent, un 433 off avec 8% et votre adversaire perd dans tout les domaines</t>
  </si>
  <si>
    <t>Un 433 off entre 8% et 16% passe facile ;)</t>
  </si>
  <si>
    <t>Un 352 Def ou off à 16% vous fait passé cette première mi temps avec un nul ou un score positive.</t>
  </si>
  <si>
    <t>Match assez quilibrer, mais un 352 def à 16% vous protége pour cette première période,</t>
  </si>
  <si>
    <t>Match tendu, votre 352 Def vous offre un nul, la suite dépend de la chance.</t>
  </si>
  <si>
    <t>Match pas du tout facile, vous avez de forte chance de perdre, un 541 def sans agro vous permet le nul mis part contre le 433 off de votre adversaire… puis, 16% en seconde ? ^^</t>
  </si>
  <si>
    <t>Vos choix sont simple 442 (attaque, def ou équilibrer) et 541 def ou équilibrer pour espèrer gagner la stratégie en jouant bien entendu à16% d'agro.</t>
  </si>
  <si>
    <t>Vos chances de gagner sont très mince à moins de trouver la stratégie, un 541 équilibrer et défensive, voir un 442 comme le 541 et bien entendu agressivité au max.</t>
  </si>
  <si>
    <t>Comment dire, le 433 de votre adversaire est capble de vous gagnez sur tout les tableaux, donc un 541 def 16% et prier pour qu'il ne joue pas son 433 ;)</t>
  </si>
  <si>
    <t>Pratiquement tout est contre vous, il vous reste des Vitamines ? Vous allez en avoir besoin car vos chances de victoire sont très faible.</t>
  </si>
  <si>
    <t>Un miracle ? Économisez vous ou croyer au miracle ^^</t>
  </si>
  <si>
    <t>Comment vous êtes vous retrouvez face un adversaire de cette taille ? Bref, Max vita et 16% d'agro en espérant que votre adversaire ne fasse pas de même ^^</t>
  </si>
  <si>
    <t>a</t>
  </si>
  <si>
    <t>d</t>
  </si>
  <si>
    <t xml:space="preserve"> </t>
  </si>
  <si>
    <t>j1</t>
  </si>
  <si>
    <t>j2</t>
  </si>
  <si>
    <t>total</t>
  </si>
  <si>
    <t>Vous avez gagner</t>
  </si>
  <si>
    <t>Vous avez perdu</t>
  </si>
  <si>
    <t>Match nul</t>
  </si>
  <si>
    <t>Seconde période</t>
  </si>
  <si>
    <t>EQUIPE</t>
  </si>
  <si>
    <t>POURCENTAGE FB</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</si>
</sst>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0.0%"/>
    <numFmt numFmtId="165" formatCode="0.000%"/>
    <numFmt numFmtId="166" formatCode="0.000000000000000"/>
    <numFmt numFmtId="167" formatCode="0.0"/>
  </numFmts>
  <fonts count="25" x14ac:knownFonts="1">
    <font>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11"/>
      <color theme="1"/>
      <name val="Calibri"/>
      <family val="2"/>
    </font>
    <font>
      <b/>
      <sz val="14"/>
      <color theme="0"/>
      <name val="Calibri"/>
      <family val="2"/>
    </font>
    <font>
      <b/>
      <sz val="14"/>
      <color theme="1"/>
      <name val="Calibri"/>
      <family val="2"/>
    </font>
    <font>
      <b/>
      <sz val="11"/>
      <color theme="0"/>
      <name val="Calibri"/>
      <family val="2"/>
    </font>
    <font>
      <sz val="11"/>
      <color theme="0"/>
      <name val="Calibri"/>
      <family val="2"/>
    </font>
    <font>
      <b/>
      <sz val="12"/>
      <color theme="0"/>
      <name val="Calibri"/>
      <family val="2"/>
      <scheme val="minor"/>
    </font>
    <font>
      <b/>
      <sz val="14"/>
      <color theme="0"/>
      <name val="Calibri"/>
      <family val="2"/>
      <scheme val="minor"/>
    </font>
    <font>
      <b/>
      <sz val="12"/>
      <color theme="0"/>
      <name val="Calibri"/>
      <family val="2"/>
    </font>
    <font>
      <b/>
      <sz val="12"/>
      <color theme="7" tint="0.39997558519241921"/>
      <name val="Calibri"/>
      <family val="2"/>
      <scheme val="minor"/>
    </font>
    <font>
      <b/>
      <sz val="24"/>
      <color theme="0"/>
      <name val="Calibri"/>
      <family val="2"/>
      <scheme val="minor"/>
    </font>
    <font>
      <b/>
      <sz val="20"/>
      <name val="Calibri"/>
      <family val="2"/>
    </font>
    <font>
      <sz val="11"/>
      <name val="Calibri"/>
      <family val="2"/>
      <scheme val="minor"/>
    </font>
    <font>
      <sz val="11"/>
      <name val="Calibri"/>
      <family val="2"/>
    </font>
    <font>
      <b/>
      <sz val="14"/>
      <name val="Calibri"/>
      <family val="2"/>
    </font>
    <font>
      <b/>
      <sz val="14"/>
      <name val="Calibri"/>
      <family val="2"/>
      <scheme val="minor"/>
    </font>
    <font>
      <b/>
      <sz val="12"/>
      <name val="Calibri"/>
      <family val="2"/>
      <scheme val="minor"/>
    </font>
    <font>
      <b/>
      <sz val="11"/>
      <name val="Calibri"/>
      <family val="2"/>
    </font>
    <font>
      <b/>
      <sz val="11"/>
      <name val="Calibri"/>
      <family val="2"/>
      <scheme val="minor"/>
    </font>
    <font>
      <b/>
      <sz val="12"/>
      <name val="Calibri"/>
      <family val="2"/>
    </font>
    <font>
      <b/>
      <sz val="24"/>
      <name val="Calibri"/>
      <family val="2"/>
      <scheme val="minor"/>
    </font>
    <font>
      <b/>
      <sz val="20"/>
      <name val="Calibri"/>
      <family val="2"/>
      <scheme val="minor"/>
    </font>
  </fonts>
  <fills count="13">
    <fill>
      <patternFill patternType="none"/>
    </fill>
    <fill>
      <patternFill patternType="gray125"/>
    </fill>
    <fill>
      <patternFill patternType="solid">
        <fgColor theme="1"/>
        <bgColor indexed="64"/>
      </patternFill>
    </fill>
    <fill>
      <gradientFill degree="45">
        <stop position="0">
          <color theme="0"/>
        </stop>
        <stop position="1">
          <color theme="1" tint="5.0965910824915313E-2"/>
        </stop>
      </gradientFill>
    </fill>
    <fill>
      <gradientFill type="path" left="0.5" right="0.5" top="0.5" bottom="0.5">
        <stop position="0">
          <color theme="0"/>
        </stop>
        <stop position="1">
          <color theme="4"/>
        </stop>
      </gradientFill>
    </fill>
    <fill>
      <patternFill patternType="solid">
        <fgColor theme="3" tint="-0.499984740745262"/>
        <bgColor indexed="64"/>
      </patternFill>
    </fill>
    <fill>
      <patternFill patternType="solid">
        <fgColor rgb="FFC00000"/>
        <bgColor indexed="64"/>
      </patternFill>
    </fill>
    <fill>
      <patternFill patternType="solid">
        <fgColor theme="2" tint="-0.89999084444715716"/>
        <bgColor indexed="64"/>
      </patternFill>
    </fill>
    <fill>
      <patternFill patternType="solid">
        <fgColor theme="1" tint="4.9989318521683403E-2"/>
        <bgColor indexed="64"/>
      </patternFill>
    </fill>
    <fill>
      <patternFill patternType="solid">
        <fgColor theme="3" tint="-0.249977111117893"/>
        <bgColor indexed="64"/>
      </patternFill>
    </fill>
    <fill>
      <patternFill patternType="solid">
        <fgColor rgb="FF00B050"/>
        <bgColor indexed="64"/>
      </patternFill>
    </fill>
    <fill>
      <gradientFill type="path">
        <stop position="0">
          <color theme="0"/>
        </stop>
        <stop position="1">
          <color theme="1"/>
        </stop>
      </gradientFill>
    </fill>
    <fill>
      <patternFill patternType="solid">
        <fgColor theme="1"/>
        <bgColor auto="1"/>
      </patternFill>
    </fill>
  </fills>
  <borders count="15">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style="medium">
        <color indexed="64"/>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right style="medium">
        <color indexed="64"/>
      </right>
      <top/>
      <bottom style="medium">
        <color indexed="64"/>
      </bottom>
      <diagonal/>
    </border>
  </borders>
  <cellStyleXfs count="2">
    <xf numFmtId="0" fontId="0" fillId="0" borderId="0"/>
    <xf numFmtId="9" fontId="1" fillId="0" borderId="0" applyFont="0" applyFill="0" applyBorder="0" applyAlignment="0" applyProtection="0"/>
  </cellStyleXfs>
  <cellXfs count="214">
    <xf numFmtId="0" fontId="0" fillId="0" borderId="0" xfId="0"/>
    <xf numFmtId="0" fontId="4" fillId="2" borderId="0" xfId="0" applyFont="1" applyFill="1" applyBorder="1" applyProtection="1">
      <protection hidden="1"/>
    </xf>
    <xf numFmtId="0" fontId="5" fillId="3" borderId="1" xfId="0" applyFont="1" applyFill="1" applyBorder="1" applyAlignment="1" applyProtection="1">
      <alignment horizontal="center"/>
      <protection hidden="1"/>
    </xf>
    <xf numFmtId="0" fontId="5" fillId="3" borderId="2" xfId="0" applyFont="1" applyFill="1" applyBorder="1" applyAlignment="1" applyProtection="1">
      <alignment horizontal="center"/>
      <protection hidden="1"/>
    </xf>
    <xf numFmtId="0" fontId="5" fillId="3" borderId="3" xfId="0" applyFont="1" applyFill="1" applyBorder="1" applyAlignment="1" applyProtection="1">
      <alignment horizontal="center"/>
      <protection hidden="1"/>
    </xf>
    <xf numFmtId="0" fontId="4" fillId="2" borderId="0" xfId="0" applyFont="1" applyFill="1" applyBorder="1" applyAlignment="1" applyProtection="1">
      <alignment horizontal="right"/>
      <protection hidden="1"/>
    </xf>
    <xf numFmtId="49" fontId="6" fillId="4" borderId="1" xfId="0" applyNumberFormat="1" applyFont="1" applyFill="1" applyBorder="1" applyAlignment="1" applyProtection="1">
      <alignment horizontal="center"/>
      <protection locked="0" hidden="1"/>
    </xf>
    <xf numFmtId="49" fontId="6" fillId="4" borderId="2" xfId="0" applyNumberFormat="1" applyFont="1" applyFill="1" applyBorder="1" applyAlignment="1" applyProtection="1">
      <alignment horizontal="center"/>
      <protection locked="0" hidden="1"/>
    </xf>
    <xf numFmtId="49" fontId="6" fillId="4" borderId="3" xfId="0" applyNumberFormat="1" applyFont="1" applyFill="1" applyBorder="1" applyAlignment="1" applyProtection="1">
      <alignment horizontal="center"/>
      <protection locked="0" hidden="1"/>
    </xf>
    <xf numFmtId="0" fontId="7" fillId="5" borderId="1" xfId="0" applyFont="1" applyFill="1" applyBorder="1" applyAlignment="1" applyProtection="1">
      <alignment horizontal="center"/>
      <protection hidden="1"/>
    </xf>
    <xf numFmtId="0" fontId="7" fillId="5" borderId="2" xfId="0" applyFont="1" applyFill="1" applyBorder="1" applyAlignment="1" applyProtection="1">
      <alignment horizontal="center"/>
      <protection hidden="1"/>
    </xf>
    <xf numFmtId="0" fontId="7" fillId="5" borderId="3" xfId="0" applyFont="1" applyFill="1" applyBorder="1" applyAlignment="1" applyProtection="1">
      <alignment horizontal="center"/>
      <protection hidden="1"/>
    </xf>
    <xf numFmtId="0" fontId="8" fillId="5" borderId="4" xfId="0" applyFont="1" applyFill="1" applyBorder="1" applyAlignment="1" applyProtection="1">
      <alignment horizontal="center"/>
      <protection hidden="1"/>
    </xf>
    <xf numFmtId="2" fontId="8" fillId="7" borderId="5" xfId="0" applyNumberFormat="1" applyFont="1" applyFill="1" applyBorder="1" applyAlignment="1" applyProtection="1">
      <alignment horizontal="center"/>
      <protection hidden="1"/>
    </xf>
    <xf numFmtId="2" fontId="8" fillId="7" borderId="6" xfId="0" applyNumberFormat="1" applyFont="1" applyFill="1" applyBorder="1" applyAlignment="1" applyProtection="1">
      <alignment horizontal="center"/>
      <protection hidden="1"/>
    </xf>
    <xf numFmtId="0" fontId="8" fillId="5" borderId="7" xfId="0" applyFont="1" applyFill="1" applyBorder="1" applyAlignment="1" applyProtection="1">
      <alignment horizontal="center"/>
      <protection hidden="1"/>
    </xf>
    <xf numFmtId="2" fontId="8" fillId="7" borderId="8" xfId="0" applyNumberFormat="1" applyFont="1" applyFill="1" applyBorder="1" applyAlignment="1" applyProtection="1">
      <alignment horizontal="center"/>
      <protection hidden="1"/>
    </xf>
    <xf numFmtId="2" fontId="8" fillId="7" borderId="0" xfId="0" applyNumberFormat="1" applyFont="1" applyFill="1" applyBorder="1" applyAlignment="1" applyProtection="1">
      <alignment horizontal="center"/>
      <protection hidden="1"/>
    </xf>
    <xf numFmtId="2" fontId="8" fillId="7" borderId="9" xfId="0" applyNumberFormat="1" applyFont="1" applyFill="1" applyBorder="1" applyAlignment="1" applyProtection="1">
      <alignment horizontal="center"/>
      <protection hidden="1"/>
    </xf>
    <xf numFmtId="2" fontId="8" fillId="7" borderId="10" xfId="0" applyNumberFormat="1" applyFont="1" applyFill="1" applyBorder="1" applyAlignment="1" applyProtection="1">
      <alignment horizontal="center"/>
      <protection hidden="1"/>
    </xf>
    <xf numFmtId="0" fontId="9" fillId="8" borderId="5" xfId="0" applyFont="1" applyFill="1" applyBorder="1" applyAlignment="1" applyProtection="1">
      <alignment horizontal="right"/>
      <protection hidden="1"/>
    </xf>
    <xf numFmtId="0" fontId="9" fillId="8" borderId="11" xfId="0" applyFont="1" applyFill="1" applyBorder="1" applyAlignment="1" applyProtection="1">
      <alignment horizontal="right"/>
      <protection hidden="1"/>
    </xf>
    <xf numFmtId="1" fontId="3" fillId="9" borderId="2" xfId="0" applyNumberFormat="1" applyFont="1" applyFill="1" applyBorder="1" applyAlignment="1" applyProtection="1">
      <alignment horizontal="center"/>
      <protection hidden="1"/>
    </xf>
    <xf numFmtId="1" fontId="3" fillId="9" borderId="3" xfId="0" applyNumberFormat="1" applyFont="1" applyFill="1" applyBorder="1" applyAlignment="1" applyProtection="1">
      <alignment horizontal="center"/>
      <protection hidden="1"/>
    </xf>
    <xf numFmtId="0" fontId="9" fillId="8" borderId="8" xfId="0" applyFont="1" applyFill="1" applyBorder="1" applyAlignment="1" applyProtection="1">
      <alignment horizontal="right"/>
      <protection hidden="1"/>
    </xf>
    <xf numFmtId="0" fontId="9" fillId="8" borderId="12" xfId="0" applyFont="1" applyFill="1" applyBorder="1" applyAlignment="1" applyProtection="1">
      <alignment horizontal="right"/>
      <protection hidden="1"/>
    </xf>
    <xf numFmtId="164" fontId="10" fillId="10" borderId="13" xfId="1" applyNumberFormat="1" applyFont="1" applyFill="1" applyBorder="1" applyAlignment="1" applyProtection="1">
      <alignment horizontal="center"/>
      <protection hidden="1"/>
    </xf>
    <xf numFmtId="0" fontId="9" fillId="8" borderId="8" xfId="0" applyFont="1" applyFill="1" applyBorder="1" applyAlignment="1" applyProtection="1">
      <alignment horizontal="right"/>
      <protection hidden="1"/>
    </xf>
    <xf numFmtId="0" fontId="9" fillId="8" borderId="12" xfId="0" applyFont="1" applyFill="1" applyBorder="1" applyAlignment="1" applyProtection="1">
      <alignment horizontal="right"/>
      <protection hidden="1"/>
    </xf>
    <xf numFmtId="9" fontId="10" fillId="6" borderId="5" xfId="0" applyNumberFormat="1" applyFont="1" applyFill="1" applyBorder="1" applyAlignment="1" applyProtection="1">
      <alignment horizontal="center"/>
      <protection locked="0" hidden="1"/>
    </xf>
    <xf numFmtId="9" fontId="10" fillId="6" borderId="6" xfId="0" applyNumberFormat="1" applyFont="1" applyFill="1" applyBorder="1" applyAlignment="1" applyProtection="1">
      <alignment horizontal="center"/>
      <protection locked="0" hidden="1"/>
    </xf>
    <xf numFmtId="0" fontId="9" fillId="8" borderId="8" xfId="0" applyFont="1" applyFill="1" applyBorder="1" applyProtection="1">
      <protection hidden="1"/>
    </xf>
    <xf numFmtId="9" fontId="10" fillId="6" borderId="0" xfId="1" applyFont="1" applyFill="1" applyBorder="1" applyAlignment="1" applyProtection="1">
      <alignment horizontal="center"/>
      <protection locked="0" hidden="1"/>
    </xf>
    <xf numFmtId="164" fontId="10" fillId="6" borderId="0" xfId="1" applyNumberFormat="1" applyFont="1" applyFill="1" applyBorder="1" applyAlignment="1" applyProtection="1">
      <alignment horizontal="center"/>
      <protection locked="0" hidden="1"/>
    </xf>
    <xf numFmtId="9" fontId="10" fillId="6" borderId="0" xfId="1" applyNumberFormat="1" applyFont="1" applyFill="1" applyBorder="1" applyAlignment="1" applyProtection="1">
      <alignment horizontal="center"/>
      <protection locked="0" hidden="1"/>
    </xf>
    <xf numFmtId="0" fontId="11" fillId="8" borderId="8" xfId="0" applyFont="1" applyFill="1" applyBorder="1" applyProtection="1">
      <protection hidden="1"/>
    </xf>
    <xf numFmtId="9" fontId="10" fillId="6" borderId="10" xfId="1" applyFont="1" applyFill="1" applyBorder="1" applyAlignment="1" applyProtection="1">
      <alignment horizontal="center"/>
      <protection locked="0" hidden="1"/>
    </xf>
    <xf numFmtId="0" fontId="11" fillId="8" borderId="8" xfId="0" applyFont="1" applyFill="1" applyBorder="1" applyAlignment="1" applyProtection="1">
      <alignment horizontal="right"/>
      <protection hidden="1"/>
    </xf>
    <xf numFmtId="0" fontId="11" fillId="8" borderId="12" xfId="0" applyFont="1" applyFill="1" applyBorder="1" applyAlignment="1" applyProtection="1">
      <alignment horizontal="right"/>
      <protection hidden="1"/>
    </xf>
    <xf numFmtId="0" fontId="11" fillId="8" borderId="9" xfId="0" applyFont="1" applyFill="1" applyBorder="1" applyAlignment="1" applyProtection="1">
      <alignment horizontal="right"/>
      <protection hidden="1"/>
    </xf>
    <xf numFmtId="0" fontId="11" fillId="8" borderId="14" xfId="0" applyFont="1" applyFill="1" applyBorder="1" applyAlignment="1" applyProtection="1">
      <alignment horizontal="right"/>
      <protection hidden="1"/>
    </xf>
    <xf numFmtId="1" fontId="10" fillId="9" borderId="2" xfId="0" applyNumberFormat="1" applyFont="1" applyFill="1" applyBorder="1" applyAlignment="1" applyProtection="1">
      <alignment horizontal="center"/>
      <protection hidden="1"/>
    </xf>
    <xf numFmtId="1" fontId="10" fillId="9" borderId="3" xfId="0" applyNumberFormat="1" applyFont="1" applyFill="1" applyBorder="1" applyAlignment="1" applyProtection="1">
      <alignment horizontal="center"/>
      <protection hidden="1"/>
    </xf>
    <xf numFmtId="0" fontId="0" fillId="2" borderId="0" xfId="0" applyFill="1" applyProtection="1">
      <protection hidden="1"/>
    </xf>
    <xf numFmtId="165" fontId="0" fillId="2" borderId="0" xfId="1" applyNumberFormat="1" applyFont="1" applyFill="1" applyProtection="1">
      <protection hidden="1"/>
    </xf>
    <xf numFmtId="0" fontId="0" fillId="2" borderId="0" xfId="0" applyFill="1"/>
    <xf numFmtId="0" fontId="0" fillId="2" borderId="0" xfId="0" applyFill="1" applyAlignment="1">
      <alignment horizontal="center"/>
    </xf>
    <xf numFmtId="0" fontId="0" fillId="2" borderId="0" xfId="0" applyFill="1" applyAlignment="1" applyProtection="1">
      <alignment horizontal="center"/>
      <protection hidden="1"/>
    </xf>
    <xf numFmtId="0" fontId="0" fillId="2" borderId="0" xfId="0" applyNumberFormat="1" applyFill="1" applyProtection="1">
      <protection hidden="1"/>
    </xf>
    <xf numFmtId="2" fontId="0" fillId="2" borderId="0" xfId="1" applyNumberFormat="1" applyFont="1" applyFill="1"/>
    <xf numFmtId="2" fontId="0" fillId="2" borderId="0" xfId="0" applyNumberFormat="1" applyFill="1"/>
    <xf numFmtId="2" fontId="0" fillId="2" borderId="0" xfId="0" applyNumberFormat="1" applyFill="1" applyAlignment="1">
      <alignment horizontal="center"/>
    </xf>
    <xf numFmtId="2" fontId="0" fillId="2" borderId="0" xfId="0" applyNumberFormat="1" applyFill="1" applyAlignment="1" applyProtection="1">
      <alignment horizontal="center"/>
      <protection hidden="1"/>
    </xf>
    <xf numFmtId="2" fontId="0" fillId="2" borderId="0" xfId="0" applyNumberFormat="1" applyFill="1" applyProtection="1">
      <protection hidden="1"/>
    </xf>
    <xf numFmtId="166" fontId="0" fillId="2" borderId="0" xfId="0" applyNumberFormat="1" applyFill="1" applyProtection="1">
      <protection hidden="1"/>
    </xf>
    <xf numFmtId="0" fontId="0" fillId="2" borderId="0" xfId="1" applyNumberFormat="1" applyFont="1" applyFill="1" applyProtection="1">
      <protection hidden="1"/>
    </xf>
    <xf numFmtId="9" fontId="0" fillId="2" borderId="0" xfId="1" applyFont="1" applyFill="1" applyProtection="1">
      <protection hidden="1"/>
    </xf>
    <xf numFmtId="1" fontId="0" fillId="2" borderId="2" xfId="0" applyNumberFormat="1" applyFont="1" applyFill="1" applyBorder="1" applyAlignment="1" applyProtection="1">
      <alignment horizontal="center"/>
      <protection hidden="1"/>
    </xf>
    <xf numFmtId="9" fontId="0" fillId="2" borderId="0" xfId="0" applyNumberFormat="1" applyFill="1" applyAlignment="1" applyProtection="1">
      <alignment horizontal="center"/>
      <protection hidden="1"/>
    </xf>
    <xf numFmtId="10" fontId="0" fillId="2" borderId="0" xfId="0" applyNumberFormat="1" applyFill="1" applyProtection="1">
      <protection hidden="1"/>
    </xf>
    <xf numFmtId="2" fontId="0" fillId="2" borderId="0" xfId="1" applyNumberFormat="1" applyFont="1" applyFill="1" applyAlignment="1" applyProtection="1">
      <alignment horizontal="center"/>
      <protection hidden="1"/>
    </xf>
    <xf numFmtId="0" fontId="0" fillId="2" borderId="0" xfId="0" applyFont="1" applyFill="1" applyProtection="1">
      <protection hidden="1"/>
    </xf>
    <xf numFmtId="2" fontId="0" fillId="2" borderId="0" xfId="0" applyNumberFormat="1" applyFont="1" applyFill="1" applyAlignment="1" applyProtection="1">
      <alignment horizontal="center"/>
      <protection hidden="1"/>
    </xf>
    <xf numFmtId="0" fontId="0" fillId="2" borderId="0" xfId="0" applyNumberFormat="1" applyFont="1" applyFill="1" applyProtection="1">
      <protection hidden="1"/>
    </xf>
    <xf numFmtId="1" fontId="0" fillId="2" borderId="0" xfId="0" applyNumberFormat="1" applyFont="1" applyFill="1" applyAlignment="1" applyProtection="1">
      <alignment horizontal="center"/>
      <protection hidden="1"/>
    </xf>
    <xf numFmtId="9" fontId="0" fillId="2" borderId="0" xfId="0" applyNumberFormat="1" applyFont="1" applyFill="1" applyAlignment="1" applyProtection="1">
      <alignment horizontal="center"/>
      <protection hidden="1"/>
    </xf>
    <xf numFmtId="9" fontId="0" fillId="2" borderId="0" xfId="0" applyNumberFormat="1" applyFont="1" applyFill="1" applyProtection="1">
      <protection hidden="1"/>
    </xf>
    <xf numFmtId="10" fontId="0" fillId="2" borderId="0" xfId="0" applyNumberFormat="1" applyFont="1" applyFill="1" applyAlignment="1" applyProtection="1">
      <alignment horizontal="center"/>
      <protection hidden="1"/>
    </xf>
    <xf numFmtId="2" fontId="0" fillId="2" borderId="0" xfId="0" applyNumberFormat="1" applyFont="1" applyFill="1" applyProtection="1">
      <protection hidden="1"/>
    </xf>
    <xf numFmtId="167" fontId="0" fillId="2" borderId="0" xfId="0" applyNumberFormat="1" applyFont="1" applyFill="1" applyProtection="1">
      <protection hidden="1"/>
    </xf>
    <xf numFmtId="9" fontId="3" fillId="2" borderId="0" xfId="0" applyNumberFormat="1" applyFont="1" applyFill="1" applyBorder="1" applyAlignment="1" applyProtection="1">
      <protection hidden="1"/>
    </xf>
    <xf numFmtId="9" fontId="0" fillId="2" borderId="0" xfId="0" applyNumberFormat="1" applyFont="1" applyFill="1" applyBorder="1" applyAlignment="1" applyProtection="1">
      <protection hidden="1"/>
    </xf>
    <xf numFmtId="0" fontId="13" fillId="11" borderId="1" xfId="0" applyFont="1" applyFill="1" applyBorder="1" applyAlignment="1" applyProtection="1">
      <alignment horizontal="center" vertical="center"/>
      <protection hidden="1"/>
    </xf>
    <xf numFmtId="0" fontId="13" fillId="11" borderId="2" xfId="0" applyFont="1" applyFill="1" applyBorder="1" applyAlignment="1" applyProtection="1">
      <alignment horizontal="center" vertical="center"/>
      <protection hidden="1"/>
    </xf>
    <xf numFmtId="0" fontId="13" fillId="11" borderId="3" xfId="0" applyFont="1" applyFill="1" applyBorder="1" applyAlignment="1" applyProtection="1">
      <alignment horizontal="center" vertical="center"/>
      <protection hidden="1"/>
    </xf>
    <xf numFmtId="10" fontId="0" fillId="2" borderId="0" xfId="0" applyNumberFormat="1" applyFill="1"/>
    <xf numFmtId="10" fontId="0" fillId="2" borderId="0" xfId="0" applyNumberFormat="1" applyFont="1" applyFill="1" applyProtection="1">
      <protection hidden="1"/>
    </xf>
    <xf numFmtId="9" fontId="0" fillId="2" borderId="0" xfId="0" applyNumberFormat="1" applyFill="1"/>
    <xf numFmtId="0" fontId="10" fillId="10" borderId="3" xfId="0" applyFont="1" applyFill="1" applyBorder="1" applyAlignment="1" applyProtection="1">
      <alignment horizontal="center"/>
      <protection hidden="1"/>
    </xf>
    <xf numFmtId="0" fontId="10" fillId="12" borderId="1" xfId="0" applyFont="1" applyFill="1" applyBorder="1" applyAlignment="1" applyProtection="1">
      <alignment horizontal="center"/>
      <protection hidden="1"/>
    </xf>
    <xf numFmtId="0" fontId="10" fillId="12" borderId="2" xfId="0" applyFont="1" applyFill="1" applyBorder="1" applyAlignment="1" applyProtection="1">
      <alignment horizontal="center"/>
      <protection hidden="1"/>
    </xf>
    <xf numFmtId="0" fontId="10" fillId="12" borderId="3" xfId="0" applyFont="1" applyFill="1" applyBorder="1" applyAlignment="1" applyProtection="1">
      <alignment horizontal="center"/>
      <protection hidden="1"/>
    </xf>
    <xf numFmtId="49" fontId="6" fillId="12" borderId="5" xfId="0" applyNumberFormat="1" applyFont="1" applyFill="1" applyBorder="1" applyAlignment="1" applyProtection="1">
      <alignment horizontal="center"/>
      <protection locked="0" hidden="1"/>
    </xf>
    <xf numFmtId="49" fontId="6" fillId="12" borderId="6" xfId="0" applyNumberFormat="1" applyFont="1" applyFill="1" applyBorder="1" applyAlignment="1" applyProtection="1">
      <alignment horizontal="center"/>
      <protection locked="0" hidden="1"/>
    </xf>
    <xf numFmtId="49" fontId="6" fillId="12" borderId="11" xfId="0" applyNumberFormat="1" applyFont="1" applyFill="1" applyBorder="1" applyAlignment="1" applyProtection="1">
      <alignment horizontal="center"/>
      <protection locked="0" hidden="1"/>
    </xf>
    <xf numFmtId="0" fontId="7" fillId="2" borderId="1" xfId="0" applyFont="1" applyFill="1" applyBorder="1" applyAlignment="1" applyProtection="1">
      <alignment horizontal="center"/>
      <protection hidden="1"/>
    </xf>
    <xf numFmtId="0" fontId="7" fillId="2" borderId="2" xfId="0" applyFont="1" applyFill="1" applyBorder="1" applyAlignment="1" applyProtection="1">
      <alignment horizontal="center"/>
      <protection hidden="1"/>
    </xf>
    <xf numFmtId="2" fontId="3" fillId="2" borderId="8" xfId="0" applyNumberFormat="1" applyFont="1" applyFill="1" applyBorder="1" applyAlignment="1" applyProtection="1">
      <alignment horizontal="center"/>
      <protection hidden="1"/>
    </xf>
    <xf numFmtId="2" fontId="3" fillId="2" borderId="0" xfId="0" applyNumberFormat="1" applyFont="1" applyFill="1" applyBorder="1" applyAlignment="1" applyProtection="1">
      <alignment horizontal="center"/>
      <protection hidden="1"/>
    </xf>
    <xf numFmtId="1" fontId="3" fillId="2" borderId="8" xfId="0" applyNumberFormat="1" applyFont="1" applyFill="1" applyBorder="1" applyAlignment="1" applyProtection="1">
      <alignment horizontal="center"/>
      <protection hidden="1"/>
    </xf>
    <xf numFmtId="2" fontId="3" fillId="2" borderId="9" xfId="0" applyNumberFormat="1" applyFont="1" applyFill="1" applyBorder="1" applyAlignment="1" applyProtection="1">
      <alignment horizontal="center"/>
      <protection hidden="1"/>
    </xf>
    <xf numFmtId="2" fontId="3" fillId="2" borderId="10" xfId="0" applyNumberFormat="1" applyFont="1" applyFill="1" applyBorder="1" applyAlignment="1" applyProtection="1">
      <alignment horizontal="center"/>
      <protection hidden="1"/>
    </xf>
    <xf numFmtId="1" fontId="3" fillId="2" borderId="9" xfId="0" applyNumberFormat="1" applyFont="1" applyFill="1" applyBorder="1" applyAlignment="1" applyProtection="1">
      <alignment horizontal="center"/>
      <protection hidden="1"/>
    </xf>
    <xf numFmtId="0" fontId="12" fillId="12" borderId="0" xfId="0" applyFont="1" applyFill="1" applyBorder="1" applyAlignment="1" applyProtection="1">
      <alignment horizontal="center" vertical="top" wrapText="1"/>
      <protection hidden="1"/>
    </xf>
    <xf numFmtId="0" fontId="2" fillId="2" borderId="3" xfId="0" applyFont="1" applyFill="1" applyBorder="1" applyProtection="1">
      <protection hidden="1"/>
    </xf>
    <xf numFmtId="0" fontId="3" fillId="2" borderId="12" xfId="0" applyFont="1" applyFill="1" applyBorder="1" applyAlignment="1" applyProtection="1">
      <alignment horizontal="center"/>
      <protection locked="0" hidden="1"/>
    </xf>
    <xf numFmtId="1" fontId="3" fillId="2" borderId="0" xfId="0" applyNumberFormat="1" applyFont="1" applyFill="1" applyBorder="1" applyAlignment="1" applyProtection="1">
      <alignment horizontal="center"/>
      <protection hidden="1"/>
    </xf>
    <xf numFmtId="0" fontId="3" fillId="2" borderId="14" xfId="0" applyFont="1" applyFill="1" applyBorder="1" applyAlignment="1" applyProtection="1">
      <alignment horizontal="center"/>
      <protection locked="0" hidden="1"/>
    </xf>
    <xf numFmtId="1" fontId="3" fillId="2" borderId="14" xfId="0" applyNumberFormat="1" applyFont="1" applyFill="1" applyBorder="1" applyAlignment="1" applyProtection="1">
      <alignment horizontal="center"/>
      <protection hidden="1"/>
    </xf>
    <xf numFmtId="164" fontId="10" fillId="2" borderId="4" xfId="1" applyNumberFormat="1" applyFont="1" applyFill="1" applyBorder="1" applyAlignment="1" applyProtection="1">
      <alignment horizontal="center"/>
      <protection hidden="1"/>
    </xf>
    <xf numFmtId="0" fontId="10" fillId="2" borderId="4" xfId="0" applyFont="1" applyFill="1" applyBorder="1" applyAlignment="1" applyProtection="1">
      <alignment horizontal="center"/>
      <protection hidden="1"/>
    </xf>
    <xf numFmtId="9" fontId="10" fillId="2" borderId="5" xfId="1" applyNumberFormat="1" applyFont="1" applyFill="1" applyBorder="1" applyAlignment="1" applyProtection="1">
      <alignment horizontal="center"/>
      <protection locked="0" hidden="1"/>
    </xf>
    <xf numFmtId="9" fontId="10" fillId="2" borderId="11" xfId="1" applyNumberFormat="1" applyFont="1" applyFill="1" applyBorder="1" applyAlignment="1" applyProtection="1">
      <alignment horizontal="center"/>
      <protection locked="0" hidden="1"/>
    </xf>
    <xf numFmtId="9" fontId="10" fillId="2" borderId="8" xfId="0" applyNumberFormat="1" applyFont="1" applyFill="1" applyBorder="1" applyAlignment="1" applyProtection="1">
      <alignment horizontal="center"/>
      <protection locked="0" hidden="1"/>
    </xf>
    <xf numFmtId="9" fontId="10" fillId="2" borderId="12" xfId="0" applyNumberFormat="1" applyFont="1" applyFill="1" applyBorder="1" applyAlignment="1" applyProtection="1">
      <alignment horizontal="center"/>
      <protection locked="0" hidden="1"/>
    </xf>
    <xf numFmtId="164" fontId="10" fillId="2" borderId="8" xfId="0" applyNumberFormat="1" applyFont="1" applyFill="1" applyBorder="1" applyAlignment="1" applyProtection="1">
      <alignment horizontal="center"/>
      <protection locked="0" hidden="1"/>
    </xf>
    <xf numFmtId="164" fontId="10" fillId="2" borderId="12" xfId="0" applyNumberFormat="1" applyFont="1" applyFill="1" applyBorder="1" applyAlignment="1" applyProtection="1">
      <alignment horizontal="center"/>
      <protection locked="0" hidden="1"/>
    </xf>
    <xf numFmtId="9" fontId="10" fillId="2" borderId="9" xfId="0" applyNumberFormat="1" applyFont="1" applyFill="1" applyBorder="1" applyAlignment="1" applyProtection="1">
      <alignment horizontal="center"/>
      <protection locked="0" hidden="1"/>
    </xf>
    <xf numFmtId="9" fontId="10" fillId="2" borderId="14" xfId="0" applyNumberFormat="1" applyFont="1" applyFill="1" applyBorder="1" applyAlignment="1" applyProtection="1">
      <alignment horizontal="center"/>
      <protection locked="0" hidden="1"/>
    </xf>
    <xf numFmtId="9" fontId="10" fillId="2" borderId="1" xfId="1" applyNumberFormat="1" applyFont="1" applyFill="1" applyBorder="1" applyAlignment="1" applyProtection="1">
      <alignment horizontal="center"/>
      <protection hidden="1"/>
    </xf>
    <xf numFmtId="9" fontId="10" fillId="2" borderId="3" xfId="1" applyNumberFormat="1" applyFont="1" applyFill="1" applyBorder="1" applyAlignment="1" applyProtection="1">
      <alignment horizontal="center"/>
      <protection hidden="1"/>
    </xf>
    <xf numFmtId="1" fontId="10" fillId="2" borderId="1" xfId="0" applyNumberFormat="1" applyFont="1" applyFill="1" applyBorder="1" applyAlignment="1" applyProtection="1">
      <alignment horizontal="center"/>
      <protection hidden="1"/>
    </xf>
    <xf numFmtId="1" fontId="10" fillId="2" borderId="3" xfId="0" applyNumberFormat="1" applyFont="1" applyFill="1" applyBorder="1" applyAlignment="1" applyProtection="1">
      <alignment horizontal="center"/>
      <protection hidden="1"/>
    </xf>
    <xf numFmtId="0" fontId="14" fillId="12" borderId="8" xfId="0" applyFont="1" applyFill="1" applyBorder="1" applyAlignment="1" applyProtection="1">
      <alignment horizontal="center"/>
      <protection hidden="1"/>
    </xf>
    <xf numFmtId="0" fontId="14" fillId="12" borderId="0" xfId="0" applyFont="1" applyFill="1" applyBorder="1" applyAlignment="1" applyProtection="1">
      <alignment horizontal="center"/>
      <protection hidden="1"/>
    </xf>
    <xf numFmtId="0" fontId="15" fillId="2" borderId="0" xfId="0" applyFont="1" applyFill="1" applyProtection="1">
      <protection hidden="1"/>
    </xf>
    <xf numFmtId="2" fontId="15" fillId="2" borderId="0" xfId="0" applyNumberFormat="1" applyFont="1" applyFill="1" applyAlignment="1" applyProtection="1">
      <alignment horizontal="center"/>
      <protection hidden="1"/>
    </xf>
    <xf numFmtId="0" fontId="16" fillId="2" borderId="0" xfId="0" applyFont="1" applyFill="1" applyBorder="1" applyProtection="1">
      <protection hidden="1"/>
    </xf>
    <xf numFmtId="0" fontId="17" fillId="12" borderId="1" xfId="0" applyFont="1" applyFill="1" applyBorder="1" applyAlignment="1" applyProtection="1">
      <alignment horizontal="center"/>
      <protection hidden="1"/>
    </xf>
    <xf numFmtId="0" fontId="17" fillId="12" borderId="2" xfId="0" applyFont="1" applyFill="1" applyBorder="1" applyAlignment="1" applyProtection="1">
      <alignment horizontal="center"/>
      <protection hidden="1"/>
    </xf>
    <xf numFmtId="0" fontId="17" fillId="12" borderId="3" xfId="0" applyFont="1" applyFill="1" applyBorder="1" applyAlignment="1" applyProtection="1">
      <alignment horizontal="center"/>
      <protection hidden="1"/>
    </xf>
    <xf numFmtId="0" fontId="18" fillId="12" borderId="1" xfId="0" applyFont="1" applyFill="1" applyBorder="1" applyAlignment="1" applyProtection="1">
      <alignment horizontal="center"/>
      <protection hidden="1"/>
    </xf>
    <xf numFmtId="0" fontId="18" fillId="12" borderId="2" xfId="0" applyFont="1" applyFill="1" applyBorder="1" applyAlignment="1" applyProtection="1">
      <alignment horizontal="center"/>
      <protection hidden="1"/>
    </xf>
    <xf numFmtId="0" fontId="18" fillId="12" borderId="3" xfId="0" applyFont="1" applyFill="1" applyBorder="1" applyAlignment="1" applyProtection="1">
      <alignment horizontal="center"/>
      <protection hidden="1"/>
    </xf>
    <xf numFmtId="0" fontId="19" fillId="12" borderId="0" xfId="0" applyFont="1" applyFill="1" applyBorder="1" applyAlignment="1" applyProtection="1">
      <alignment horizontal="center" vertical="top" wrapText="1"/>
      <protection hidden="1"/>
    </xf>
    <xf numFmtId="0" fontId="16" fillId="2" borderId="0" xfId="0" applyFont="1" applyFill="1" applyBorder="1" applyAlignment="1" applyProtection="1">
      <alignment horizontal="right"/>
      <protection hidden="1"/>
    </xf>
    <xf numFmtId="49" fontId="17" fillId="12" borderId="1" xfId="0" applyNumberFormat="1" applyFont="1" applyFill="1" applyBorder="1" applyAlignment="1" applyProtection="1">
      <alignment horizontal="center"/>
      <protection locked="0" hidden="1"/>
    </xf>
    <xf numFmtId="49" fontId="17" fillId="12" borderId="2" xfId="0" applyNumberFormat="1" applyFont="1" applyFill="1" applyBorder="1" applyAlignment="1" applyProtection="1">
      <alignment horizontal="center"/>
      <protection locked="0" hidden="1"/>
    </xf>
    <xf numFmtId="49" fontId="17" fillId="12" borderId="3" xfId="0" applyNumberFormat="1" applyFont="1" applyFill="1" applyBorder="1" applyAlignment="1" applyProtection="1">
      <alignment horizontal="center"/>
      <protection locked="0" hidden="1"/>
    </xf>
    <xf numFmtId="49" fontId="17" fillId="12" borderId="5" xfId="0" applyNumberFormat="1" applyFont="1" applyFill="1" applyBorder="1" applyAlignment="1" applyProtection="1">
      <alignment horizontal="center"/>
      <protection locked="0" hidden="1"/>
    </xf>
    <xf numFmtId="49" fontId="17" fillId="12" borderId="6" xfId="0" applyNumberFormat="1" applyFont="1" applyFill="1" applyBorder="1" applyAlignment="1" applyProtection="1">
      <alignment horizontal="center"/>
      <protection locked="0" hidden="1"/>
    </xf>
    <xf numFmtId="49" fontId="17" fillId="12" borderId="11" xfId="0" applyNumberFormat="1" applyFont="1" applyFill="1" applyBorder="1" applyAlignment="1" applyProtection="1">
      <alignment horizontal="center"/>
      <protection locked="0" hidden="1"/>
    </xf>
    <xf numFmtId="0" fontId="20" fillId="2" borderId="1" xfId="0" applyFont="1" applyFill="1" applyBorder="1" applyAlignment="1" applyProtection="1">
      <alignment horizontal="center"/>
      <protection hidden="1"/>
    </xf>
    <xf numFmtId="0" fontId="20" fillId="2" borderId="2" xfId="0" applyFont="1" applyFill="1" applyBorder="1" applyAlignment="1" applyProtection="1">
      <alignment horizontal="center"/>
      <protection hidden="1"/>
    </xf>
    <xf numFmtId="0" fontId="20" fillId="2" borderId="3" xfId="0" applyFont="1" applyFill="1" applyBorder="1" applyAlignment="1" applyProtection="1">
      <alignment horizontal="center"/>
      <protection hidden="1"/>
    </xf>
    <xf numFmtId="0" fontId="21" fillId="2" borderId="3" xfId="0" applyFont="1" applyFill="1" applyBorder="1" applyProtection="1">
      <protection hidden="1"/>
    </xf>
    <xf numFmtId="1" fontId="15" fillId="2" borderId="0" xfId="0" applyNumberFormat="1" applyFont="1" applyFill="1" applyAlignment="1" applyProtection="1">
      <alignment horizontal="center"/>
      <protection hidden="1"/>
    </xf>
    <xf numFmtId="9" fontId="15" fillId="2" borderId="0" xfId="0" applyNumberFormat="1" applyFont="1" applyFill="1" applyAlignment="1" applyProtection="1">
      <alignment horizontal="center"/>
      <protection hidden="1"/>
    </xf>
    <xf numFmtId="0" fontId="16" fillId="2" borderId="4" xfId="0" applyFont="1" applyFill="1" applyBorder="1" applyAlignment="1" applyProtection="1">
      <alignment horizontal="center"/>
      <protection hidden="1"/>
    </xf>
    <xf numFmtId="0" fontId="15" fillId="2" borderId="4" xfId="0" applyFont="1" applyFill="1" applyBorder="1" applyAlignment="1" applyProtection="1">
      <alignment horizontal="center"/>
      <protection locked="0" hidden="1"/>
    </xf>
    <xf numFmtId="2" fontId="16" fillId="2" borderId="5" xfId="0" applyNumberFormat="1" applyFont="1" applyFill="1" applyBorder="1" applyAlignment="1" applyProtection="1">
      <alignment horizontal="center"/>
      <protection hidden="1"/>
    </xf>
    <xf numFmtId="2" fontId="16" fillId="2" borderId="6" xfId="0" applyNumberFormat="1" applyFont="1" applyFill="1" applyBorder="1" applyAlignment="1" applyProtection="1">
      <alignment horizontal="center"/>
      <protection hidden="1"/>
    </xf>
    <xf numFmtId="2" fontId="15" fillId="2" borderId="8" xfId="0" applyNumberFormat="1" applyFont="1" applyFill="1" applyBorder="1" applyAlignment="1" applyProtection="1">
      <alignment horizontal="center"/>
      <protection hidden="1"/>
    </xf>
    <xf numFmtId="2" fontId="15" fillId="2" borderId="0" xfId="0" applyNumberFormat="1" applyFont="1" applyFill="1" applyBorder="1" applyAlignment="1" applyProtection="1">
      <alignment horizontal="center"/>
      <protection hidden="1"/>
    </xf>
    <xf numFmtId="1" fontId="15" fillId="2" borderId="8" xfId="0" applyNumberFormat="1" applyFont="1" applyFill="1" applyBorder="1" applyAlignment="1" applyProtection="1">
      <alignment horizontal="center"/>
      <protection locked="0" hidden="1"/>
    </xf>
    <xf numFmtId="0" fontId="15" fillId="2" borderId="12" xfId="0" applyFont="1" applyFill="1" applyBorder="1" applyAlignment="1" applyProtection="1">
      <alignment horizontal="center"/>
      <protection locked="0" hidden="1"/>
    </xf>
    <xf numFmtId="1" fontId="15" fillId="2" borderId="0" xfId="0" applyNumberFormat="1" applyFont="1" applyFill="1" applyBorder="1" applyAlignment="1" applyProtection="1">
      <alignment horizontal="center"/>
      <protection hidden="1"/>
    </xf>
    <xf numFmtId="0" fontId="16" fillId="2" borderId="7" xfId="0" applyFont="1" applyFill="1" applyBorder="1" applyAlignment="1" applyProtection="1">
      <alignment horizontal="center"/>
      <protection hidden="1"/>
    </xf>
    <xf numFmtId="0" fontId="15" fillId="2" borderId="7" xfId="0" applyFont="1" applyFill="1" applyBorder="1" applyAlignment="1" applyProtection="1">
      <alignment horizontal="center"/>
      <protection locked="0" hidden="1"/>
    </xf>
    <xf numFmtId="2" fontId="16" fillId="2" borderId="8" xfId="0" applyNumberFormat="1" applyFont="1" applyFill="1" applyBorder="1" applyAlignment="1" applyProtection="1">
      <alignment horizontal="center"/>
      <protection hidden="1"/>
    </xf>
    <xf numFmtId="2" fontId="16" fillId="2" borderId="0" xfId="0" applyNumberFormat="1" applyFont="1" applyFill="1" applyBorder="1" applyAlignment="1" applyProtection="1">
      <alignment horizontal="center"/>
      <protection hidden="1"/>
    </xf>
    <xf numFmtId="10" fontId="15" fillId="2" borderId="0" xfId="0" applyNumberFormat="1" applyFont="1" applyFill="1" applyAlignment="1" applyProtection="1">
      <alignment horizontal="center"/>
      <protection hidden="1"/>
    </xf>
    <xf numFmtId="2" fontId="15" fillId="2" borderId="0" xfId="0" applyNumberFormat="1" applyFont="1" applyFill="1" applyProtection="1">
      <protection hidden="1"/>
    </xf>
    <xf numFmtId="2" fontId="16" fillId="2" borderId="9" xfId="0" applyNumberFormat="1" applyFont="1" applyFill="1" applyBorder="1" applyAlignment="1" applyProtection="1">
      <alignment horizontal="center"/>
      <protection hidden="1"/>
    </xf>
    <xf numFmtId="2" fontId="16" fillId="2" borderId="10" xfId="0" applyNumberFormat="1" applyFont="1" applyFill="1" applyBorder="1" applyAlignment="1" applyProtection="1">
      <alignment horizontal="center"/>
      <protection hidden="1"/>
    </xf>
    <xf numFmtId="2" fontId="15" fillId="2" borderId="9" xfId="0" applyNumberFormat="1" applyFont="1" applyFill="1" applyBorder="1" applyAlignment="1" applyProtection="1">
      <alignment horizontal="center"/>
      <protection hidden="1"/>
    </xf>
    <xf numFmtId="2" fontId="15" fillId="2" borderId="10" xfId="0" applyNumberFormat="1" applyFont="1" applyFill="1" applyBorder="1" applyAlignment="1" applyProtection="1">
      <alignment horizontal="center"/>
      <protection hidden="1"/>
    </xf>
    <xf numFmtId="1" fontId="15" fillId="2" borderId="9" xfId="0" applyNumberFormat="1" applyFont="1" applyFill="1" applyBorder="1" applyAlignment="1" applyProtection="1">
      <alignment horizontal="center"/>
      <protection locked="0" hidden="1"/>
    </xf>
    <xf numFmtId="0" fontId="15" fillId="2" borderId="14" xfId="0" applyFont="1" applyFill="1" applyBorder="1" applyAlignment="1" applyProtection="1">
      <alignment horizontal="center"/>
      <protection locked="0" hidden="1"/>
    </xf>
    <xf numFmtId="0" fontId="19" fillId="2" borderId="5" xfId="0" applyFont="1" applyFill="1" applyBorder="1" applyAlignment="1" applyProtection="1">
      <alignment horizontal="right"/>
      <protection hidden="1"/>
    </xf>
    <xf numFmtId="0" fontId="19" fillId="2" borderId="11" xfId="0" applyFont="1" applyFill="1" applyBorder="1" applyAlignment="1" applyProtection="1">
      <alignment horizontal="right"/>
      <protection hidden="1"/>
    </xf>
    <xf numFmtId="1" fontId="15" fillId="2" borderId="2" xfId="0" applyNumberFormat="1" applyFont="1" applyFill="1" applyBorder="1" applyAlignment="1" applyProtection="1">
      <alignment horizontal="center"/>
      <protection hidden="1"/>
    </xf>
    <xf numFmtId="1" fontId="15" fillId="2" borderId="3" xfId="0" applyNumberFormat="1" applyFont="1" applyFill="1" applyBorder="1" applyAlignment="1" applyProtection="1">
      <alignment horizontal="center"/>
      <protection hidden="1"/>
    </xf>
    <xf numFmtId="1" fontId="15" fillId="2" borderId="9" xfId="0" applyNumberFormat="1" applyFont="1" applyFill="1" applyBorder="1" applyAlignment="1" applyProtection="1">
      <alignment horizontal="center"/>
      <protection hidden="1"/>
    </xf>
    <xf numFmtId="1" fontId="15" fillId="2" borderId="14" xfId="0" applyNumberFormat="1" applyFont="1" applyFill="1" applyBorder="1" applyAlignment="1" applyProtection="1">
      <alignment horizontal="center"/>
      <protection hidden="1"/>
    </xf>
    <xf numFmtId="0" fontId="15" fillId="2" borderId="5" xfId="0" applyFont="1" applyFill="1" applyBorder="1" applyAlignment="1" applyProtection="1">
      <protection hidden="1"/>
    </xf>
    <xf numFmtId="0" fontId="15" fillId="2" borderId="6" xfId="0" applyFont="1" applyFill="1" applyBorder="1" applyAlignment="1" applyProtection="1">
      <protection hidden="1"/>
    </xf>
    <xf numFmtId="0" fontId="15" fillId="2" borderId="0" xfId="0" applyFont="1" applyFill="1"/>
    <xf numFmtId="0" fontId="19" fillId="2" borderId="8" xfId="0" applyFont="1" applyFill="1" applyBorder="1" applyAlignment="1" applyProtection="1">
      <alignment horizontal="right"/>
      <protection hidden="1"/>
    </xf>
    <xf numFmtId="0" fontId="19" fillId="2" borderId="12" xfId="0" applyFont="1" applyFill="1" applyBorder="1" applyAlignment="1" applyProtection="1">
      <alignment horizontal="right"/>
      <protection hidden="1"/>
    </xf>
    <xf numFmtId="0" fontId="15" fillId="2" borderId="3" xfId="0" applyFont="1" applyFill="1" applyBorder="1" applyAlignment="1" applyProtection="1">
      <alignment horizontal="center"/>
      <protection locked="0" hidden="1"/>
    </xf>
    <xf numFmtId="164" fontId="18" fillId="2" borderId="13" xfId="1" applyNumberFormat="1" applyFont="1" applyFill="1" applyBorder="1" applyAlignment="1" applyProtection="1">
      <alignment horizontal="center"/>
      <protection hidden="1"/>
    </xf>
    <xf numFmtId="164" fontId="18" fillId="2" borderId="4" xfId="1" applyNumberFormat="1" applyFont="1" applyFill="1" applyBorder="1" applyAlignment="1" applyProtection="1">
      <alignment horizontal="center"/>
      <protection hidden="1"/>
    </xf>
    <xf numFmtId="167" fontId="15" fillId="2" borderId="0" xfId="0" applyNumberFormat="1" applyFont="1" applyFill="1" applyProtection="1">
      <protection hidden="1"/>
    </xf>
    <xf numFmtId="0" fontId="19" fillId="2" borderId="8" xfId="0" applyFont="1" applyFill="1" applyBorder="1" applyAlignment="1" applyProtection="1">
      <alignment horizontal="right"/>
      <protection hidden="1"/>
    </xf>
    <xf numFmtId="0" fontId="19" fillId="2" borderId="12" xfId="0" applyFont="1" applyFill="1" applyBorder="1" applyAlignment="1" applyProtection="1">
      <alignment horizontal="right"/>
      <protection hidden="1"/>
    </xf>
    <xf numFmtId="9" fontId="18" fillId="2" borderId="5" xfId="0" applyNumberFormat="1" applyFont="1" applyFill="1" applyBorder="1" applyAlignment="1" applyProtection="1">
      <alignment horizontal="center"/>
      <protection locked="0" hidden="1"/>
    </xf>
    <xf numFmtId="9" fontId="18" fillId="2" borderId="6" xfId="0" applyNumberFormat="1" applyFont="1" applyFill="1" applyBorder="1" applyAlignment="1" applyProtection="1">
      <alignment horizontal="center"/>
      <protection locked="0" hidden="1"/>
    </xf>
    <xf numFmtId="9" fontId="18" fillId="2" borderId="5" xfId="1" applyNumberFormat="1" applyFont="1" applyFill="1" applyBorder="1" applyAlignment="1" applyProtection="1">
      <alignment horizontal="center"/>
      <protection locked="0" hidden="1"/>
    </xf>
    <xf numFmtId="9" fontId="18" fillId="2" borderId="11" xfId="1" applyNumberFormat="1" applyFont="1" applyFill="1" applyBorder="1" applyAlignment="1" applyProtection="1">
      <alignment horizontal="center"/>
      <protection locked="0" hidden="1"/>
    </xf>
    <xf numFmtId="0" fontId="15" fillId="2" borderId="0" xfId="0" applyFont="1" applyFill="1" applyBorder="1" applyProtection="1">
      <protection hidden="1"/>
    </xf>
    <xf numFmtId="0" fontId="19" fillId="2" borderId="8" xfId="0" applyFont="1" applyFill="1" applyBorder="1" applyProtection="1">
      <protection hidden="1"/>
    </xf>
    <xf numFmtId="9" fontId="18" fillId="2" borderId="0" xfId="1" applyFont="1" applyFill="1" applyBorder="1" applyAlignment="1" applyProtection="1">
      <alignment horizontal="center"/>
      <protection locked="0" hidden="1"/>
    </xf>
    <xf numFmtId="9" fontId="18" fillId="2" borderId="8" xfId="0" applyNumberFormat="1" applyFont="1" applyFill="1" applyBorder="1" applyAlignment="1" applyProtection="1">
      <alignment horizontal="center"/>
      <protection locked="0" hidden="1"/>
    </xf>
    <xf numFmtId="9" fontId="18" fillId="2" borderId="12" xfId="0" applyNumberFormat="1" applyFont="1" applyFill="1" applyBorder="1" applyAlignment="1" applyProtection="1">
      <alignment horizontal="center"/>
      <protection locked="0" hidden="1"/>
    </xf>
    <xf numFmtId="9" fontId="15" fillId="2" borderId="0" xfId="0" applyNumberFormat="1" applyFont="1" applyFill="1" applyBorder="1" applyAlignment="1" applyProtection="1">
      <protection hidden="1"/>
    </xf>
    <xf numFmtId="9" fontId="15" fillId="2" borderId="0" xfId="1" applyFont="1" applyFill="1" applyProtection="1">
      <protection hidden="1"/>
    </xf>
    <xf numFmtId="164" fontId="18" fillId="2" borderId="0" xfId="1" applyNumberFormat="1" applyFont="1" applyFill="1" applyBorder="1" applyAlignment="1" applyProtection="1">
      <alignment horizontal="center"/>
      <protection locked="0" hidden="1"/>
    </xf>
    <xf numFmtId="164" fontId="18" fillId="2" borderId="8" xfId="0" applyNumberFormat="1" applyFont="1" applyFill="1" applyBorder="1" applyAlignment="1" applyProtection="1">
      <alignment horizontal="center"/>
      <protection locked="0" hidden="1"/>
    </xf>
    <xf numFmtId="164" fontId="18" fillId="2" borderId="12" xfId="0" applyNumberFormat="1" applyFont="1" applyFill="1" applyBorder="1" applyAlignment="1" applyProtection="1">
      <alignment horizontal="center"/>
      <protection locked="0" hidden="1"/>
    </xf>
    <xf numFmtId="9" fontId="15" fillId="2" borderId="0" xfId="0" applyNumberFormat="1" applyFont="1" applyFill="1" applyProtection="1">
      <protection hidden="1"/>
    </xf>
    <xf numFmtId="9" fontId="18" fillId="2" borderId="0" xfId="1" applyNumberFormat="1" applyFont="1" applyFill="1" applyBorder="1" applyAlignment="1" applyProtection="1">
      <alignment horizontal="center"/>
      <protection locked="0" hidden="1"/>
    </xf>
    <xf numFmtId="0" fontId="22" fillId="2" borderId="8" xfId="0" applyFont="1" applyFill="1" applyBorder="1" applyProtection="1">
      <protection hidden="1"/>
    </xf>
    <xf numFmtId="9" fontId="18" fillId="2" borderId="10" xfId="1" applyFont="1" applyFill="1" applyBorder="1" applyAlignment="1" applyProtection="1">
      <alignment horizontal="center"/>
      <protection locked="0" hidden="1"/>
    </xf>
    <xf numFmtId="9" fontId="18" fillId="2" borderId="9" xfId="0" applyNumberFormat="1" applyFont="1" applyFill="1" applyBorder="1" applyAlignment="1" applyProtection="1">
      <alignment horizontal="center"/>
      <protection locked="0" hidden="1"/>
    </xf>
    <xf numFmtId="9" fontId="18" fillId="2" borderId="14" xfId="0" applyNumberFormat="1" applyFont="1" applyFill="1" applyBorder="1" applyAlignment="1" applyProtection="1">
      <alignment horizontal="center"/>
      <protection locked="0" hidden="1"/>
    </xf>
    <xf numFmtId="0" fontId="22" fillId="2" borderId="8" xfId="0" applyFont="1" applyFill="1" applyBorder="1" applyAlignment="1" applyProtection="1">
      <alignment horizontal="right"/>
      <protection hidden="1"/>
    </xf>
    <xf numFmtId="0" fontId="22" fillId="2" borderId="12" xfId="0" applyFont="1" applyFill="1" applyBorder="1" applyAlignment="1" applyProtection="1">
      <alignment horizontal="right"/>
      <protection hidden="1"/>
    </xf>
    <xf numFmtId="9" fontId="18" fillId="2" borderId="2" xfId="1" applyNumberFormat="1" applyFont="1" applyFill="1" applyBorder="1" applyAlignment="1" applyProtection="1">
      <alignment horizontal="center"/>
      <protection hidden="1"/>
    </xf>
    <xf numFmtId="9" fontId="18" fillId="2" borderId="3" xfId="1" applyNumberFormat="1" applyFont="1" applyFill="1" applyBorder="1" applyAlignment="1" applyProtection="1">
      <alignment horizontal="center"/>
      <protection hidden="1"/>
    </xf>
    <xf numFmtId="9" fontId="18" fillId="2" borderId="1" xfId="1" applyNumberFormat="1" applyFont="1" applyFill="1" applyBorder="1" applyAlignment="1" applyProtection="1">
      <alignment horizontal="center"/>
      <protection hidden="1"/>
    </xf>
    <xf numFmtId="0" fontId="22" fillId="2" borderId="9" xfId="0" applyFont="1" applyFill="1" applyBorder="1" applyAlignment="1" applyProtection="1">
      <alignment horizontal="right"/>
      <protection hidden="1"/>
    </xf>
    <xf numFmtId="0" fontId="22" fillId="2" borderId="14" xfId="0" applyFont="1" applyFill="1" applyBorder="1" applyAlignment="1" applyProtection="1">
      <alignment horizontal="right"/>
      <protection hidden="1"/>
    </xf>
    <xf numFmtId="1" fontId="18" fillId="2" borderId="2" xfId="0" applyNumberFormat="1" applyFont="1" applyFill="1" applyBorder="1" applyAlignment="1" applyProtection="1">
      <alignment horizontal="center"/>
      <protection hidden="1"/>
    </xf>
    <xf numFmtId="1" fontId="18" fillId="2" borderId="3" xfId="0" applyNumberFormat="1" applyFont="1" applyFill="1" applyBorder="1" applyAlignment="1" applyProtection="1">
      <alignment horizontal="center"/>
      <protection hidden="1"/>
    </xf>
    <xf numFmtId="1" fontId="18" fillId="2" borderId="1" xfId="0" applyNumberFormat="1" applyFont="1" applyFill="1" applyBorder="1" applyAlignment="1" applyProtection="1">
      <alignment horizontal="center"/>
      <protection hidden="1"/>
    </xf>
    <xf numFmtId="0" fontId="23" fillId="12" borderId="1" xfId="0" applyFont="1" applyFill="1" applyBorder="1" applyAlignment="1" applyProtection="1">
      <alignment horizontal="center" vertical="center"/>
      <protection hidden="1"/>
    </xf>
    <xf numFmtId="0" fontId="23" fillId="12" borderId="2" xfId="0" applyFont="1" applyFill="1" applyBorder="1" applyAlignment="1" applyProtection="1">
      <alignment horizontal="center" vertical="center"/>
      <protection hidden="1"/>
    </xf>
    <xf numFmtId="0" fontId="23" fillId="12" borderId="3" xfId="0" applyFont="1" applyFill="1" applyBorder="1" applyAlignment="1" applyProtection="1">
      <alignment horizontal="center" vertical="center"/>
      <protection hidden="1"/>
    </xf>
    <xf numFmtId="0" fontId="24" fillId="12" borderId="0" xfId="0" applyNumberFormat="1" applyFont="1" applyFill="1" applyAlignment="1" applyProtection="1">
      <alignment horizontal="center" vertical="center"/>
      <protection hidden="1"/>
    </xf>
    <xf numFmtId="0" fontId="3" fillId="10" borderId="4" xfId="0" applyFont="1" applyFill="1" applyBorder="1" applyAlignment="1" applyProtection="1">
      <alignment horizontal="center"/>
      <protection locked="0" hidden="1"/>
    </xf>
    <xf numFmtId="0" fontId="3" fillId="10" borderId="7" xfId="0" applyFont="1" applyFill="1" applyBorder="1" applyAlignment="1" applyProtection="1">
      <alignment horizontal="center"/>
      <protection locked="0" hidden="1"/>
    </xf>
    <xf numFmtId="9" fontId="10" fillId="10" borderId="2" xfId="1" applyNumberFormat="1" applyFont="1" applyFill="1" applyBorder="1" applyAlignment="1" applyProtection="1">
      <alignment horizontal="center"/>
      <protection locked="0" hidden="1"/>
    </xf>
    <xf numFmtId="9" fontId="10" fillId="10" borderId="3" xfId="1" applyNumberFormat="1" applyFont="1" applyFill="1" applyBorder="1" applyAlignment="1" applyProtection="1">
      <alignment horizontal="center"/>
      <protection locked="0" hidden="1"/>
    </xf>
  </cellXfs>
  <cellStyles count="2">
    <cellStyle name="Normal" xfId="0" builtinId="0"/>
    <cellStyle name="Pourcentag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01"/>
  <sheetViews>
    <sheetView tabSelected="1" topLeftCell="A28" workbookViewId="0">
      <selection activeCell="C50" sqref="C50"/>
    </sheetView>
  </sheetViews>
  <sheetFormatPr baseColWidth="10" defaultRowHeight="15" x14ac:dyDescent="0.25"/>
  <cols>
    <col min="5" max="20" width="0" hidden="1" customWidth="1"/>
    <col min="21" max="22" width="11.42578125" hidden="1" customWidth="1"/>
  </cols>
  <sheetData>
    <row r="1" spans="1:22" ht="27" hidden="1" thickBot="1" x14ac:dyDescent="0.45">
      <c r="A1" s="113" t="s">
        <v>55</v>
      </c>
      <c r="B1" s="114"/>
      <c r="C1" s="114"/>
      <c r="D1" s="114"/>
      <c r="E1" s="114"/>
      <c r="F1" s="114"/>
      <c r="G1" s="114"/>
      <c r="H1" s="114"/>
      <c r="I1" s="114"/>
      <c r="J1" s="115"/>
      <c r="K1" s="115"/>
      <c r="L1" s="115"/>
      <c r="M1" s="115"/>
      <c r="N1" s="116"/>
      <c r="O1" s="116"/>
      <c r="P1" s="116"/>
      <c r="Q1" s="61"/>
      <c r="R1" s="61"/>
      <c r="S1" s="61"/>
      <c r="T1" s="61"/>
      <c r="U1" s="61"/>
      <c r="V1" s="61"/>
    </row>
    <row r="2" spans="1:22" ht="19.5" hidden="1" thickBot="1" x14ac:dyDescent="0.35">
      <c r="A2" s="117"/>
      <c r="B2" s="118" t="s">
        <v>54</v>
      </c>
      <c r="C2" s="119"/>
      <c r="D2" s="120"/>
      <c r="E2" s="121"/>
      <c r="F2" s="122"/>
      <c r="G2" s="123"/>
      <c r="H2" s="115"/>
      <c r="I2" s="124" t="e">
        <f>VLOOKUP(N17,J4:N16,2)</f>
        <v>#N/A</v>
      </c>
      <c r="J2" s="124"/>
      <c r="K2" s="124"/>
      <c r="L2" s="124"/>
      <c r="M2" s="124"/>
      <c r="N2" s="124"/>
      <c r="O2" s="124"/>
      <c r="P2" s="124"/>
      <c r="Q2" s="61"/>
      <c r="R2" s="61"/>
      <c r="S2" s="61"/>
      <c r="T2" s="61"/>
      <c r="U2" s="61"/>
      <c r="V2" s="56"/>
    </row>
    <row r="3" spans="1:22" ht="19.5" hidden="1" thickBot="1" x14ac:dyDescent="0.35">
      <c r="A3" s="125"/>
      <c r="B3" s="126" t="s">
        <v>1</v>
      </c>
      <c r="C3" s="127"/>
      <c r="D3" s="128"/>
      <c r="E3" s="129"/>
      <c r="F3" s="130"/>
      <c r="G3" s="131"/>
      <c r="H3" s="115"/>
      <c r="I3" s="124"/>
      <c r="J3" s="124"/>
      <c r="K3" s="124"/>
      <c r="L3" s="124"/>
      <c r="M3" s="124"/>
      <c r="N3" s="124"/>
      <c r="O3" s="124"/>
      <c r="P3" s="124"/>
      <c r="Q3" s="61"/>
      <c r="R3" s="61"/>
      <c r="S3" s="63"/>
      <c r="T3" s="61"/>
      <c r="U3" s="61"/>
      <c r="V3" s="56"/>
    </row>
    <row r="4" spans="1:22" ht="15.75" hidden="1" thickBot="1" x14ac:dyDescent="0.3">
      <c r="A4" s="117"/>
      <c r="B4" s="132" t="s">
        <v>2</v>
      </c>
      <c r="C4" s="133" t="s">
        <v>3</v>
      </c>
      <c r="D4" s="134" t="s">
        <v>4</v>
      </c>
      <c r="E4" s="132"/>
      <c r="F4" s="133"/>
      <c r="G4" s="133"/>
      <c r="H4" s="133"/>
      <c r="I4" s="135"/>
      <c r="J4" s="115">
        <v>1</v>
      </c>
      <c r="K4" s="115" t="s">
        <v>31</v>
      </c>
      <c r="L4" s="115"/>
      <c r="M4" s="115">
        <f t="shared" ref="M4:M14" si="0">IF(B5&gt;G5,1,0)</f>
        <v>1</v>
      </c>
      <c r="N4" s="136">
        <f t="shared" ref="N4:N14" si="1">IF(G5&gt;B5,1,0)</f>
        <v>0</v>
      </c>
      <c r="O4" s="116"/>
      <c r="P4" s="137">
        <v>0</v>
      </c>
      <c r="Q4" s="66">
        <v>0</v>
      </c>
      <c r="R4" s="61"/>
      <c r="S4" s="63"/>
      <c r="T4" s="61"/>
      <c r="U4" s="61"/>
      <c r="V4" s="56"/>
    </row>
    <row r="5" spans="1:22" hidden="1" x14ac:dyDescent="0.25">
      <c r="A5" s="138">
        <v>1</v>
      </c>
      <c r="B5" s="139">
        <v>543</v>
      </c>
      <c r="C5" s="140">
        <f>VLOOKUP(B$3,B$75:M$86,2)*B5/100</f>
        <v>29.545246252676655</v>
      </c>
      <c r="D5" s="141">
        <f>VLOOKUP(B$3,B$88:M$99,2)*B5/100</f>
        <v>1447.9263597430406</v>
      </c>
      <c r="E5" s="142"/>
      <c r="F5" s="143"/>
      <c r="G5" s="144"/>
      <c r="H5" s="145"/>
      <c r="I5" s="146"/>
      <c r="J5" s="115">
        <v>2</v>
      </c>
      <c r="K5" s="115" t="s">
        <v>32</v>
      </c>
      <c r="L5" s="115"/>
      <c r="M5" s="115">
        <f t="shared" si="0"/>
        <v>1</v>
      </c>
      <c r="N5" s="136">
        <f t="shared" si="1"/>
        <v>0</v>
      </c>
      <c r="O5" s="116"/>
      <c r="P5" s="137">
        <v>0.04</v>
      </c>
      <c r="Q5" s="66">
        <v>0.1</v>
      </c>
      <c r="R5" s="61"/>
      <c r="S5" s="63" t="s">
        <v>20</v>
      </c>
      <c r="T5" s="61">
        <v>352</v>
      </c>
      <c r="U5" s="61"/>
      <c r="V5" s="63"/>
    </row>
    <row r="6" spans="1:22" hidden="1" x14ac:dyDescent="0.25">
      <c r="A6" s="147">
        <v>2</v>
      </c>
      <c r="B6" s="148">
        <v>682</v>
      </c>
      <c r="C6" s="149">
        <f>VLOOKUP(B$3,B$75:M$86,3)*B6/100</f>
        <v>618.54483552631575</v>
      </c>
      <c r="D6" s="150">
        <f>VLOOKUP(B$3,B$88:M$99,3)*B6/100</f>
        <v>927.82286184210534</v>
      </c>
      <c r="E6" s="142"/>
      <c r="F6" s="143"/>
      <c r="G6" s="144"/>
      <c r="H6" s="145"/>
      <c r="I6" s="146"/>
      <c r="J6" s="115">
        <v>3</v>
      </c>
      <c r="K6" s="115" t="s">
        <v>33</v>
      </c>
      <c r="L6" s="115"/>
      <c r="M6" s="115">
        <f t="shared" si="0"/>
        <v>1</v>
      </c>
      <c r="N6" s="136">
        <f t="shared" si="1"/>
        <v>0</v>
      </c>
      <c r="O6" s="116"/>
      <c r="P6" s="137">
        <v>0.08</v>
      </c>
      <c r="Q6" s="61"/>
      <c r="R6" s="61"/>
      <c r="S6" s="63" t="s">
        <v>1</v>
      </c>
      <c r="T6" s="61">
        <v>352</v>
      </c>
      <c r="U6" s="61"/>
      <c r="V6" s="55"/>
    </row>
    <row r="7" spans="1:22" hidden="1" x14ac:dyDescent="0.25">
      <c r="A7" s="147">
        <v>3</v>
      </c>
      <c r="B7" s="148">
        <v>698</v>
      </c>
      <c r="C7" s="149">
        <f>VLOOKUP(B$3,B$75:M$86,4)*B7/100</f>
        <v>475.31698996655518</v>
      </c>
      <c r="D7" s="150">
        <f>VLOOKUP(B$3,B$88:M$99,4)*B7/100</f>
        <v>1109.0729765886288</v>
      </c>
      <c r="E7" s="142"/>
      <c r="F7" s="143"/>
      <c r="G7" s="144"/>
      <c r="H7" s="145"/>
      <c r="I7" s="146"/>
      <c r="J7" s="115">
        <v>4</v>
      </c>
      <c r="K7" s="115" t="s">
        <v>34</v>
      </c>
      <c r="L7" s="115"/>
      <c r="M7" s="115">
        <f t="shared" si="0"/>
        <v>1</v>
      </c>
      <c r="N7" s="136">
        <f t="shared" si="1"/>
        <v>0</v>
      </c>
      <c r="O7" s="116"/>
      <c r="P7" s="137">
        <v>0.12</v>
      </c>
      <c r="Q7" s="61"/>
      <c r="R7" s="61"/>
      <c r="S7" s="63" t="s">
        <v>21</v>
      </c>
      <c r="T7" s="61">
        <v>352</v>
      </c>
      <c r="U7" s="61"/>
      <c r="V7" s="55"/>
    </row>
    <row r="8" spans="1:22" hidden="1" x14ac:dyDescent="0.25">
      <c r="A8" s="147">
        <v>4</v>
      </c>
      <c r="B8" s="148">
        <v>696</v>
      </c>
      <c r="C8" s="149">
        <f>VLOOKUP(B$3,B$75:M$86,5)*B8/100</f>
        <v>189.46234636871509</v>
      </c>
      <c r="D8" s="150">
        <f>VLOOKUP(B$3,B$88:M$99,5)*B8/100</f>
        <v>442.08312849162007</v>
      </c>
      <c r="E8" s="142"/>
      <c r="F8" s="143"/>
      <c r="G8" s="144"/>
      <c r="H8" s="145"/>
      <c r="I8" s="146"/>
      <c r="J8" s="115">
        <v>5</v>
      </c>
      <c r="K8" s="115" t="s">
        <v>35</v>
      </c>
      <c r="L8" s="115"/>
      <c r="M8" s="115">
        <f t="shared" si="0"/>
        <v>1</v>
      </c>
      <c r="N8" s="136">
        <f t="shared" si="1"/>
        <v>0</v>
      </c>
      <c r="O8" s="116"/>
      <c r="P8" s="137">
        <v>0.16</v>
      </c>
      <c r="Q8" s="61"/>
      <c r="R8" s="61"/>
      <c r="S8" s="63" t="s">
        <v>22</v>
      </c>
      <c r="T8" s="61">
        <v>433</v>
      </c>
      <c r="U8" s="61"/>
      <c r="V8" s="55"/>
    </row>
    <row r="9" spans="1:22" hidden="1" x14ac:dyDescent="0.25">
      <c r="A9" s="147">
        <v>5</v>
      </c>
      <c r="B9" s="148">
        <v>1056</v>
      </c>
      <c r="C9" s="149">
        <f>VLOOKUP(B$3,B$75:M$86,6)*B9/100</f>
        <v>287.63196304849885</v>
      </c>
      <c r="D9" s="150">
        <f>VLOOKUP(B$3,B$88:M$99,6)*B9/100</f>
        <v>671.15750577367203</v>
      </c>
      <c r="E9" s="142"/>
      <c r="F9" s="143"/>
      <c r="G9" s="144"/>
      <c r="H9" s="145"/>
      <c r="I9" s="146"/>
      <c r="J9" s="115">
        <v>6</v>
      </c>
      <c r="K9" s="151" t="s">
        <v>36</v>
      </c>
      <c r="L9" s="115"/>
      <c r="M9" s="115">
        <f t="shared" si="0"/>
        <v>1</v>
      </c>
      <c r="N9" s="136">
        <f t="shared" si="1"/>
        <v>0</v>
      </c>
      <c r="O9" s="116"/>
      <c r="P9" s="116"/>
      <c r="Q9" s="61"/>
      <c r="R9" s="61"/>
      <c r="S9" s="63" t="s">
        <v>23</v>
      </c>
      <c r="T9" s="61">
        <v>433</v>
      </c>
      <c r="U9" s="61"/>
      <c r="V9" s="55"/>
    </row>
    <row r="10" spans="1:22" hidden="1" x14ac:dyDescent="0.25">
      <c r="A10" s="147">
        <v>6</v>
      </c>
      <c r="B10" s="148">
        <v>784</v>
      </c>
      <c r="C10" s="149">
        <f>VLOOKUP(B$3,B$75:M$86,7)*B10/100</f>
        <v>569.4659649122807</v>
      </c>
      <c r="D10" s="150">
        <f>VLOOKUP(B$3,B$88:M$99,7)*B10/100</f>
        <v>854.20467836257319</v>
      </c>
      <c r="E10" s="142"/>
      <c r="F10" s="143"/>
      <c r="G10" s="144"/>
      <c r="H10" s="145"/>
      <c r="I10" s="146"/>
      <c r="J10" s="115">
        <v>7</v>
      </c>
      <c r="K10" s="115" t="s">
        <v>37</v>
      </c>
      <c r="L10" s="115"/>
      <c r="M10" s="115">
        <f t="shared" si="0"/>
        <v>1</v>
      </c>
      <c r="N10" s="136">
        <f t="shared" si="1"/>
        <v>0</v>
      </c>
      <c r="O10" s="115"/>
      <c r="P10" s="152"/>
      <c r="Q10" s="61"/>
      <c r="R10" s="61"/>
      <c r="S10" s="63" t="s">
        <v>24</v>
      </c>
      <c r="T10" s="61">
        <v>433</v>
      </c>
      <c r="U10" s="61"/>
      <c r="V10" s="55"/>
    </row>
    <row r="11" spans="1:22" hidden="1" x14ac:dyDescent="0.25">
      <c r="A11" s="147">
        <v>7</v>
      </c>
      <c r="B11" s="148">
        <v>798</v>
      </c>
      <c r="C11" s="149">
        <f>VLOOKUP(B$3,B$75:M$86,8)*B11/100</f>
        <v>868.9722662889518</v>
      </c>
      <c r="D11" s="150">
        <f>VLOOKUP(B$3,B$88:M$99,8)*B11/100</f>
        <v>1303.4527478753541</v>
      </c>
      <c r="E11" s="142"/>
      <c r="F11" s="143"/>
      <c r="G11" s="144"/>
      <c r="H11" s="145"/>
      <c r="I11" s="146"/>
      <c r="J11" s="115">
        <v>8</v>
      </c>
      <c r="K11" s="115" t="s">
        <v>38</v>
      </c>
      <c r="L11" s="115"/>
      <c r="M11" s="115">
        <f t="shared" si="0"/>
        <v>1</v>
      </c>
      <c r="N11" s="136">
        <f t="shared" si="1"/>
        <v>0</v>
      </c>
      <c r="O11" s="115"/>
      <c r="P11" s="115"/>
      <c r="Q11" s="61"/>
      <c r="R11" s="61"/>
      <c r="S11" s="63" t="s">
        <v>25</v>
      </c>
      <c r="T11" s="61">
        <v>442</v>
      </c>
      <c r="U11" s="61"/>
      <c r="V11" s="55"/>
    </row>
    <row r="12" spans="1:22" hidden="1" x14ac:dyDescent="0.25">
      <c r="A12" s="147">
        <v>8</v>
      </c>
      <c r="B12" s="148">
        <v>446</v>
      </c>
      <c r="C12" s="149">
        <f>VLOOKUP(B$3,B$75:M$86,9)*B12/100</f>
        <v>303.53349911190054</v>
      </c>
      <c r="D12" s="150">
        <f>VLOOKUP(B$3,B$88:M$99,9)*B12/100</f>
        <v>303.53349911190054</v>
      </c>
      <c r="E12" s="142"/>
      <c r="F12" s="143"/>
      <c r="G12" s="144"/>
      <c r="H12" s="145"/>
      <c r="I12" s="146"/>
      <c r="J12" s="115">
        <v>9</v>
      </c>
      <c r="K12" s="115" t="s">
        <v>39</v>
      </c>
      <c r="L12" s="115"/>
      <c r="M12" s="115">
        <f t="shared" si="0"/>
        <v>1</v>
      </c>
      <c r="N12" s="136">
        <f t="shared" si="1"/>
        <v>0</v>
      </c>
      <c r="O12" s="115"/>
      <c r="P12" s="115"/>
      <c r="Q12" s="61"/>
      <c r="R12" s="61"/>
      <c r="S12" s="63" t="s">
        <v>26</v>
      </c>
      <c r="T12" s="61">
        <v>442</v>
      </c>
      <c r="U12" s="61"/>
      <c r="V12" s="55"/>
    </row>
    <row r="13" spans="1:22" hidden="1" x14ac:dyDescent="0.25">
      <c r="A13" s="147">
        <v>9</v>
      </c>
      <c r="B13" s="148">
        <v>514</v>
      </c>
      <c r="C13" s="149">
        <f>VLOOKUP(B$3,B$75:M$86,10)*B13/100</f>
        <v>652.63118040089091</v>
      </c>
      <c r="D13" s="150">
        <f>VLOOKUP(B$3,B$88:M$99,10)*B13/100</f>
        <v>279.7007126948775</v>
      </c>
      <c r="E13" s="142"/>
      <c r="F13" s="143"/>
      <c r="G13" s="144"/>
      <c r="H13" s="145"/>
      <c r="I13" s="146"/>
      <c r="J13" s="115">
        <v>10</v>
      </c>
      <c r="K13" s="115" t="s">
        <v>40</v>
      </c>
      <c r="L13" s="115"/>
      <c r="M13" s="115">
        <f t="shared" si="0"/>
        <v>1</v>
      </c>
      <c r="N13" s="136">
        <f t="shared" si="1"/>
        <v>0</v>
      </c>
      <c r="O13" s="115"/>
      <c r="P13" s="115"/>
      <c r="Q13" s="61"/>
      <c r="R13" s="61"/>
      <c r="S13" s="63" t="s">
        <v>27</v>
      </c>
      <c r="T13" s="61">
        <v>442</v>
      </c>
      <c r="U13" s="61"/>
      <c r="V13" s="55"/>
    </row>
    <row r="14" spans="1:22" hidden="1" x14ac:dyDescent="0.25">
      <c r="A14" s="147">
        <v>10</v>
      </c>
      <c r="B14" s="148">
        <v>574</v>
      </c>
      <c r="C14" s="149">
        <f>VLOOKUP(B$3,B$75:M$86,11)*B14/100</f>
        <v>546.86944550669216</v>
      </c>
      <c r="D14" s="150">
        <f>VLOOKUP(B$3,B$88:M$99,11)*B14/100</f>
        <v>234.37418738049712</v>
      </c>
      <c r="E14" s="142"/>
      <c r="F14" s="143"/>
      <c r="G14" s="144"/>
      <c r="H14" s="145"/>
      <c r="I14" s="146"/>
      <c r="J14" s="115">
        <v>11</v>
      </c>
      <c r="K14" s="115" t="s">
        <v>41</v>
      </c>
      <c r="L14" s="115"/>
      <c r="M14" s="115">
        <f t="shared" si="0"/>
        <v>1</v>
      </c>
      <c r="N14" s="136">
        <f t="shared" si="1"/>
        <v>0</v>
      </c>
      <c r="O14" s="115"/>
      <c r="P14" s="115"/>
      <c r="Q14" s="61"/>
      <c r="R14" s="61"/>
      <c r="S14" s="63" t="s">
        <v>28</v>
      </c>
      <c r="T14" s="61">
        <v>541</v>
      </c>
      <c r="U14" s="61"/>
      <c r="V14" s="55"/>
    </row>
    <row r="15" spans="1:22" ht="15.75" hidden="1" thickBot="1" x14ac:dyDescent="0.3">
      <c r="A15" s="147">
        <v>11</v>
      </c>
      <c r="B15" s="148">
        <v>511</v>
      </c>
      <c r="C15" s="153">
        <f>VLOOKUP(B$3,B$75:M$86,12)*B15/100</f>
        <v>556.43590361445774</v>
      </c>
      <c r="D15" s="154">
        <f>VLOOKUP(B$3,B$88:M$99,12)*B15/100</f>
        <v>370.95433734939752</v>
      </c>
      <c r="E15" s="155"/>
      <c r="F15" s="156"/>
      <c r="G15" s="157"/>
      <c r="H15" s="158"/>
      <c r="I15" s="146"/>
      <c r="J15" s="115">
        <v>12</v>
      </c>
      <c r="K15" s="115" t="s">
        <v>42</v>
      </c>
      <c r="L15" s="152"/>
      <c r="M15" s="115">
        <f>IF(E17&gt;D17,0,1)</f>
        <v>1</v>
      </c>
      <c r="N15" s="136">
        <f>IF(E17&gt;D17,1,0)</f>
        <v>0</v>
      </c>
      <c r="O15" s="115"/>
      <c r="P15" s="115"/>
      <c r="Q15" s="61"/>
      <c r="R15" s="61"/>
      <c r="S15" s="63" t="s">
        <v>29</v>
      </c>
      <c r="T15" s="61">
        <v>541</v>
      </c>
      <c r="U15" s="61"/>
      <c r="V15" s="55"/>
    </row>
    <row r="16" spans="1:22" ht="16.5" hidden="1" thickBot="1" x14ac:dyDescent="0.3">
      <c r="A16" s="159" t="s">
        <v>5</v>
      </c>
      <c r="B16" s="160"/>
      <c r="C16" s="161">
        <f>SUM(C5:C15)</f>
        <v>5098.4096409979356</v>
      </c>
      <c r="D16" s="162">
        <f>SUM(D5:D15)</f>
        <v>7944.2829952136672</v>
      </c>
      <c r="E16" s="163"/>
      <c r="F16" s="164"/>
      <c r="G16" s="165"/>
      <c r="H16" s="166"/>
      <c r="I16" s="115"/>
      <c r="J16" s="115">
        <v>13</v>
      </c>
      <c r="K16" s="115" t="s">
        <v>43</v>
      </c>
      <c r="L16" s="167"/>
      <c r="M16" s="115">
        <f>IF(C20&gt;E20,1,0)</f>
        <v>1</v>
      </c>
      <c r="N16" s="136">
        <f>IF(E20&gt;C20,1,0)</f>
        <v>0</v>
      </c>
      <c r="O16" s="115" t="s">
        <v>44</v>
      </c>
      <c r="P16" s="115" t="s">
        <v>45</v>
      </c>
      <c r="Q16" s="61"/>
      <c r="R16" s="61"/>
      <c r="S16" s="63" t="s">
        <v>30</v>
      </c>
      <c r="T16" s="61">
        <v>541</v>
      </c>
      <c r="U16" s="61"/>
      <c r="V16" s="55"/>
    </row>
    <row r="17" spans="1:22" ht="19.5" hidden="1" thickBot="1" x14ac:dyDescent="0.35">
      <c r="A17" s="168" t="s">
        <v>6</v>
      </c>
      <c r="B17" s="169"/>
      <c r="C17" s="170">
        <v>1872</v>
      </c>
      <c r="D17" s="171">
        <f>IF(C17&gt;F17,I21,I20)</f>
        <v>0.04</v>
      </c>
      <c r="E17" s="172"/>
      <c r="F17" s="139"/>
      <c r="G17" s="167"/>
      <c r="H17" s="167"/>
      <c r="I17" s="115">
        <f>IF(C17&gt;F17,C17-F17,F17-C17)</f>
        <v>1872</v>
      </c>
      <c r="J17" s="173">
        <f>C16*C18+C16</f>
        <v>5098.4096409979356</v>
      </c>
      <c r="K17" s="173">
        <f>D16*C18+D16</f>
        <v>7944.2829952136672</v>
      </c>
      <c r="L17" s="115"/>
      <c r="M17" s="115">
        <f>SUM(M4:M16)</f>
        <v>13</v>
      </c>
      <c r="N17" s="136">
        <f>SUM(N4:N16)</f>
        <v>0</v>
      </c>
      <c r="O17" s="115">
        <f>E16*E18+E16</f>
        <v>0</v>
      </c>
      <c r="P17" s="115">
        <f>F16*E18+F16</f>
        <v>0</v>
      </c>
      <c r="Q17" s="61"/>
      <c r="R17" s="61"/>
      <c r="S17" s="63"/>
      <c r="T17" s="61"/>
      <c r="U17" s="61"/>
      <c r="V17" s="56"/>
    </row>
    <row r="18" spans="1:22" ht="18.75" hidden="1" x14ac:dyDescent="0.3">
      <c r="A18" s="174"/>
      <c r="B18" s="175" t="s">
        <v>7</v>
      </c>
      <c r="C18" s="176">
        <v>0</v>
      </c>
      <c r="D18" s="177"/>
      <c r="E18" s="178"/>
      <c r="F18" s="179"/>
      <c r="G18" s="180"/>
      <c r="H18" s="115"/>
      <c r="I18" s="115"/>
      <c r="J18" s="173">
        <f>J17*D17+J17</f>
        <v>5302.3460266378534</v>
      </c>
      <c r="K18" s="173">
        <f>K17*D17+K17</f>
        <v>8262.0543150222147</v>
      </c>
      <c r="L18" s="115"/>
      <c r="M18" s="115"/>
      <c r="N18" s="115"/>
      <c r="O18" s="115">
        <f>O17*E17+O17</f>
        <v>0</v>
      </c>
      <c r="P18" s="115">
        <f>P17*E17+P17</f>
        <v>0</v>
      </c>
      <c r="Q18" s="61"/>
      <c r="R18" s="61"/>
      <c r="S18" s="63"/>
      <c r="T18" s="61"/>
      <c r="U18" s="61"/>
      <c r="V18" s="56"/>
    </row>
    <row r="19" spans="1:22" ht="18.75" hidden="1" x14ac:dyDescent="0.3">
      <c r="A19" s="181"/>
      <c r="B19" s="175" t="s">
        <v>8</v>
      </c>
      <c r="C19" s="182">
        <v>0</v>
      </c>
      <c r="D19" s="182"/>
      <c r="E19" s="183"/>
      <c r="F19" s="184"/>
      <c r="G19" s="185"/>
      <c r="H19" s="115"/>
      <c r="I19" s="186">
        <f>I17/20000</f>
        <v>9.3600000000000003E-2</v>
      </c>
      <c r="J19" s="173">
        <f>J18*C19+J18</f>
        <v>5302.3460266378534</v>
      </c>
      <c r="K19" s="173">
        <f>K18*C19+K18</f>
        <v>8262.0543150222147</v>
      </c>
      <c r="L19" s="115"/>
      <c r="M19" s="115"/>
      <c r="N19" s="115"/>
      <c r="O19" s="115">
        <f>O18*E19+O18</f>
        <v>0</v>
      </c>
      <c r="P19" s="115">
        <f>P18*E19+P18</f>
        <v>0</v>
      </c>
      <c r="Q19" s="61"/>
      <c r="R19" s="61"/>
      <c r="S19" s="63"/>
      <c r="T19" s="61"/>
      <c r="U19" s="61"/>
      <c r="V19" s="61"/>
    </row>
    <row r="20" spans="1:22" ht="18.75" hidden="1" x14ac:dyDescent="0.3">
      <c r="A20" s="181"/>
      <c r="B20" s="175" t="s">
        <v>9</v>
      </c>
      <c r="C20" s="187">
        <v>0.14000000000000001</v>
      </c>
      <c r="D20" s="187"/>
      <c r="E20" s="188"/>
      <c r="F20" s="189"/>
      <c r="G20" s="185"/>
      <c r="H20" s="115"/>
      <c r="I20" s="190">
        <v>0</v>
      </c>
      <c r="J20" s="173">
        <f>J19*C20+J19</f>
        <v>6044.6744703671529</v>
      </c>
      <c r="K20" s="173">
        <f>K19*C20+K19</f>
        <v>9418.7419191253248</v>
      </c>
      <c r="L20" s="115"/>
      <c r="M20" s="115"/>
      <c r="N20" s="115"/>
      <c r="O20" s="115">
        <f>O19*E20+O19</f>
        <v>0</v>
      </c>
      <c r="P20" s="115">
        <f>P19*E20+P19</f>
        <v>0</v>
      </c>
      <c r="Q20" s="61"/>
      <c r="R20" s="61"/>
      <c r="S20" s="61"/>
      <c r="T20" s="61"/>
      <c r="U20" s="61"/>
      <c r="V20" s="61"/>
    </row>
    <row r="21" spans="1:22" ht="18.75" hidden="1" x14ac:dyDescent="0.3">
      <c r="A21" s="181"/>
      <c r="B21" s="175" t="s">
        <v>10</v>
      </c>
      <c r="C21" s="191">
        <v>0.05</v>
      </c>
      <c r="D21" s="191"/>
      <c r="E21" s="183"/>
      <c r="F21" s="184"/>
      <c r="G21" s="185"/>
      <c r="H21" s="115" t="s">
        <v>46</v>
      </c>
      <c r="I21" s="186">
        <f>IF(I19&gt;4%,4%,I19)</f>
        <v>0.04</v>
      </c>
      <c r="J21" s="173">
        <f>J20*C21+J20</f>
        <v>6346.9081938855106</v>
      </c>
      <c r="K21" s="173">
        <f>K20*C21+K20</f>
        <v>9889.6790150815905</v>
      </c>
      <c r="L21" s="115"/>
      <c r="M21" s="115"/>
      <c r="N21" s="115"/>
      <c r="O21" s="115">
        <f t="shared" ref="O21:O23" si="2">O20*E21+O20</f>
        <v>0</v>
      </c>
      <c r="P21" s="115">
        <f t="shared" ref="P21:P23" si="3">P20*E21+P20</f>
        <v>0</v>
      </c>
      <c r="Q21" s="61"/>
      <c r="R21" s="61"/>
      <c r="S21" s="61" t="s">
        <v>47</v>
      </c>
      <c r="T21" s="61" t="s">
        <v>48</v>
      </c>
      <c r="U21" s="61" t="s">
        <v>47</v>
      </c>
      <c r="V21" s="61" t="s">
        <v>48</v>
      </c>
    </row>
    <row r="22" spans="1:22" ht="19.5" hidden="1" thickBot="1" x14ac:dyDescent="0.35">
      <c r="A22" s="192"/>
      <c r="B22" s="175" t="s">
        <v>11</v>
      </c>
      <c r="C22" s="193">
        <v>0.08</v>
      </c>
      <c r="D22" s="193"/>
      <c r="E22" s="194"/>
      <c r="F22" s="195"/>
      <c r="G22" s="185"/>
      <c r="H22" s="115"/>
      <c r="I22" s="115"/>
      <c r="J22" s="173">
        <f>J21*C22+J21</f>
        <v>6854.6608493963513</v>
      </c>
      <c r="K22" s="173">
        <f>K21*C22+K21</f>
        <v>10680.853336288117</v>
      </c>
      <c r="L22" s="115"/>
      <c r="M22" s="115"/>
      <c r="N22" s="115"/>
      <c r="O22" s="115">
        <f t="shared" si="2"/>
        <v>0</v>
      </c>
      <c r="P22" s="115">
        <f t="shared" si="3"/>
        <v>0</v>
      </c>
      <c r="Q22" s="61"/>
      <c r="R22" s="61"/>
      <c r="S22" s="61">
        <f>VLOOKUP(B3,S5:T16,2)</f>
        <v>352</v>
      </c>
      <c r="T22" s="61" t="e">
        <f>VLOOKUP(E3,S5:T16,2)</f>
        <v>#N/A</v>
      </c>
      <c r="U22" s="61" t="e">
        <f>S22-T22</f>
        <v>#N/A</v>
      </c>
      <c r="V22" s="63" t="e">
        <f>S22-T22</f>
        <v>#N/A</v>
      </c>
    </row>
    <row r="23" spans="1:22" ht="19.5" hidden="1" thickBot="1" x14ac:dyDescent="0.35">
      <c r="A23" s="196" t="s">
        <v>12</v>
      </c>
      <c r="B23" s="197"/>
      <c r="C23" s="198" t="e">
        <f>VLOOKUP(U22,D57:E72,2)</f>
        <v>#N/A</v>
      </c>
      <c r="D23" s="199"/>
      <c r="E23" s="200"/>
      <c r="F23" s="199"/>
      <c r="G23" s="185"/>
      <c r="H23" s="115" t="e">
        <f>I23/2</f>
        <v>#N/A</v>
      </c>
      <c r="I23" s="115" t="e">
        <f>J23*0.1148%</f>
        <v>#N/A</v>
      </c>
      <c r="J23" s="173" t="e">
        <f>J22*C23+J22</f>
        <v>#N/A</v>
      </c>
      <c r="K23" s="173" t="e">
        <f>K22*C23+K22</f>
        <v>#N/A</v>
      </c>
      <c r="L23" s="115"/>
      <c r="M23" s="115"/>
      <c r="N23" s="115"/>
      <c r="O23" s="115">
        <f t="shared" si="2"/>
        <v>0</v>
      </c>
      <c r="P23" s="115">
        <f t="shared" si="3"/>
        <v>0</v>
      </c>
      <c r="Q23" s="61"/>
      <c r="R23" s="61"/>
      <c r="S23" s="56"/>
      <c r="T23" s="61"/>
      <c r="U23" s="61"/>
      <c r="V23" s="61"/>
    </row>
    <row r="24" spans="1:22" ht="19.5" hidden="1" thickBot="1" x14ac:dyDescent="0.35">
      <c r="A24" s="201" t="s">
        <v>13</v>
      </c>
      <c r="B24" s="202"/>
      <c r="C24" s="203" t="e">
        <f>J23+I23</f>
        <v>#N/A</v>
      </c>
      <c r="D24" s="204" t="e">
        <f>K23+H23</f>
        <v>#N/A</v>
      </c>
      <c r="E24" s="205"/>
      <c r="F24" s="204"/>
      <c r="G24" s="115"/>
      <c r="H24" s="115"/>
      <c r="I24" s="115" t="s">
        <v>47</v>
      </c>
      <c r="J24" s="115" t="s">
        <v>48</v>
      </c>
      <c r="K24" s="115" t="s">
        <v>49</v>
      </c>
      <c r="L24" s="115"/>
      <c r="M24" s="115"/>
      <c r="N24" s="115"/>
      <c r="O24" s="115"/>
      <c r="P24" s="115"/>
      <c r="Q24" s="61"/>
      <c r="R24" s="61"/>
      <c r="S24" s="61"/>
      <c r="T24" s="61"/>
      <c r="U24" s="61"/>
      <c r="V24" s="61"/>
    </row>
    <row r="25" spans="1:22" ht="32.25" hidden="1" thickBot="1" x14ac:dyDescent="0.3">
      <c r="A25" s="117"/>
      <c r="B25" s="115"/>
      <c r="C25" s="206" t="e">
        <f>K25</f>
        <v>#N/A</v>
      </c>
      <c r="D25" s="207"/>
      <c r="E25" s="207"/>
      <c r="F25" s="208"/>
      <c r="G25" s="115"/>
      <c r="H25" s="115"/>
      <c r="I25" s="115" t="e">
        <f>IF(C24&gt;F24,C24-F24,L25)</f>
        <v>#N/A</v>
      </c>
      <c r="J25" s="115" t="e">
        <f>IF(E24&gt;D24,E24-D24,M25)</f>
        <v>#N/A</v>
      </c>
      <c r="K25" s="115" t="e">
        <f>IF(I25=J25,Q25,IF(I25&gt;J25,N25,O25))</f>
        <v>#N/A</v>
      </c>
      <c r="L25" s="115">
        <v>0</v>
      </c>
      <c r="M25" s="115">
        <v>0</v>
      </c>
      <c r="N25" s="115" t="s">
        <v>50</v>
      </c>
      <c r="O25" s="115" t="s">
        <v>51</v>
      </c>
      <c r="P25" s="115"/>
      <c r="Q25" s="61" t="s">
        <v>52</v>
      </c>
      <c r="R25" s="61"/>
      <c r="S25" s="61"/>
      <c r="T25" s="61"/>
      <c r="U25" s="61"/>
      <c r="V25" s="61"/>
    </row>
    <row r="26" spans="1:22" hidden="1" x14ac:dyDescent="0.25">
      <c r="A26" s="209" t="s">
        <v>53</v>
      </c>
      <c r="B26" s="209"/>
      <c r="C26" s="209"/>
      <c r="D26" s="209"/>
      <c r="E26" s="209"/>
      <c r="F26" s="209"/>
      <c r="G26" s="209"/>
      <c r="H26" s="209"/>
      <c r="I26" s="209"/>
      <c r="J26" s="167"/>
      <c r="K26" s="167"/>
      <c r="L26" s="167"/>
      <c r="M26" s="167"/>
      <c r="N26" s="115"/>
      <c r="O26" s="115"/>
      <c r="P26" s="115"/>
      <c r="Q26" s="43"/>
      <c r="R26" s="43"/>
      <c r="S26" s="43">
        <v>10873.83</v>
      </c>
      <c r="T26" s="53" t="e">
        <f>S26-C24</f>
        <v>#N/A</v>
      </c>
      <c r="U26" s="43"/>
      <c r="V26" s="43"/>
    </row>
    <row r="27" spans="1:22" ht="15.75" hidden="1" thickBot="1" x14ac:dyDescent="0.3">
      <c r="A27" s="209"/>
      <c r="B27" s="209"/>
      <c r="C27" s="209"/>
      <c r="D27" s="209"/>
      <c r="E27" s="209"/>
      <c r="F27" s="209"/>
      <c r="G27" s="209"/>
      <c r="H27" s="209"/>
      <c r="I27" s="209"/>
      <c r="J27" s="167"/>
      <c r="K27" s="167"/>
      <c r="L27" s="167"/>
      <c r="M27" s="167"/>
      <c r="N27" s="115"/>
      <c r="O27" s="115"/>
      <c r="P27" s="115"/>
      <c r="Q27" s="43"/>
      <c r="R27" s="54">
        <v>0.11331679711607254</v>
      </c>
      <c r="S27" s="43"/>
      <c r="T27" s="55" t="e">
        <f>T26*100/S26</f>
        <v>#N/A</v>
      </c>
      <c r="U27" s="43"/>
      <c r="V27" s="43"/>
    </row>
    <row r="28" spans="1:22" ht="19.5" thickBot="1" x14ac:dyDescent="0.35">
      <c r="A28" s="1"/>
      <c r="B28" s="2" t="s">
        <v>0</v>
      </c>
      <c r="C28" s="3"/>
      <c r="D28" s="4"/>
      <c r="E28" s="79"/>
      <c r="F28" s="80"/>
      <c r="G28" s="81"/>
      <c r="H28" s="43"/>
      <c r="I28" s="93"/>
      <c r="J28" s="93"/>
      <c r="K28" s="93"/>
      <c r="L28" s="93"/>
      <c r="M28" s="93"/>
      <c r="N28" s="93"/>
      <c r="O28" s="93"/>
      <c r="P28" s="93"/>
      <c r="Q28" s="61"/>
      <c r="R28" s="61"/>
      <c r="S28" s="61"/>
      <c r="T28" s="61"/>
      <c r="U28" s="61"/>
      <c r="V28" s="43"/>
    </row>
    <row r="29" spans="1:22" ht="19.5" thickBot="1" x14ac:dyDescent="0.35">
      <c r="A29" s="5"/>
      <c r="B29" s="6" t="s">
        <v>24</v>
      </c>
      <c r="C29" s="7"/>
      <c r="D29" s="8"/>
      <c r="E29" s="82" t="s">
        <v>1</v>
      </c>
      <c r="F29" s="83"/>
      <c r="G29" s="84"/>
      <c r="H29" s="43"/>
      <c r="I29" s="93"/>
      <c r="J29" s="93"/>
      <c r="K29" s="93"/>
      <c r="L29" s="93"/>
      <c r="M29" s="93"/>
      <c r="N29" s="93"/>
      <c r="O29" s="93"/>
      <c r="P29" s="93"/>
      <c r="Q29" s="61"/>
      <c r="R29" s="61"/>
      <c r="S29" s="63"/>
      <c r="T29" s="61"/>
      <c r="U29" s="61"/>
      <c r="V29" s="43"/>
    </row>
    <row r="30" spans="1:22" ht="15.75" thickBot="1" x14ac:dyDescent="0.3">
      <c r="A30" s="1"/>
      <c r="B30" s="9" t="s">
        <v>2</v>
      </c>
      <c r="C30" s="10" t="s">
        <v>3</v>
      </c>
      <c r="D30" s="11" t="s">
        <v>4</v>
      </c>
      <c r="E30" s="85"/>
      <c r="F30" s="86"/>
      <c r="G30" s="86"/>
      <c r="H30" s="86"/>
      <c r="I30" s="94"/>
      <c r="J30" s="61">
        <v>1</v>
      </c>
      <c r="K30" s="61" t="s">
        <v>31</v>
      </c>
      <c r="L30" s="61"/>
      <c r="M30" s="61">
        <f t="shared" ref="M30:M40" si="4">IF(B31&gt;G31,1,0)</f>
        <v>1</v>
      </c>
      <c r="N30" s="64">
        <f t="shared" ref="N30:N40" si="5">IF(G31&gt;B31,1,0)</f>
        <v>0</v>
      </c>
      <c r="O30" s="65">
        <v>0</v>
      </c>
      <c r="P30" s="75">
        <f>H66</f>
        <v>2.2722517579574344E-2</v>
      </c>
      <c r="Q30" s="75">
        <f>I66</f>
        <v>2.5621162747520781E-2</v>
      </c>
      <c r="R30" s="61"/>
      <c r="S30" s="63"/>
      <c r="T30" s="61"/>
      <c r="U30" s="61"/>
      <c r="V30" s="43"/>
    </row>
    <row r="31" spans="1:22" x14ac:dyDescent="0.25">
      <c r="A31" s="12">
        <v>1</v>
      </c>
      <c r="B31" s="210">
        <v>100</v>
      </c>
      <c r="C31" s="13">
        <f>VLOOKUP(B$29,B$75:M$86,2)*B31/M55</f>
        <v>16.34173669467787</v>
      </c>
      <c r="D31" s="14">
        <f>VLOOKUP(B$29,B$88:M$99,2)*B31/N55</f>
        <v>256.04481792717087</v>
      </c>
      <c r="E31" s="87"/>
      <c r="F31" s="88"/>
      <c r="G31" s="89"/>
      <c r="H31" s="95"/>
      <c r="I31" s="96"/>
      <c r="J31" s="61">
        <v>2</v>
      </c>
      <c r="K31" s="61" t="s">
        <v>32</v>
      </c>
      <c r="L31" s="61"/>
      <c r="M31" s="61">
        <f t="shared" si="4"/>
        <v>1</v>
      </c>
      <c r="N31" s="64">
        <f t="shared" si="5"/>
        <v>0</v>
      </c>
      <c r="O31" s="65">
        <v>0.04</v>
      </c>
      <c r="P31" s="75">
        <f>J66</f>
        <v>3.070263647820088E-2</v>
      </c>
      <c r="Q31" s="75">
        <f>K66</f>
        <v>3.0394209335243193E-2</v>
      </c>
      <c r="R31" s="61"/>
      <c r="S31" s="63" t="s">
        <v>20</v>
      </c>
      <c r="T31" s="61">
        <v>352</v>
      </c>
      <c r="U31" s="61"/>
      <c r="V31" s="43"/>
    </row>
    <row r="32" spans="1:22" x14ac:dyDescent="0.25">
      <c r="A32" s="15">
        <v>2</v>
      </c>
      <c r="B32" s="211">
        <f t="shared" ref="B31:B41" si="6">B6</f>
        <v>682</v>
      </c>
      <c r="C32" s="16">
        <f>VLOOKUP(B$29,B$75:M$86,3)*B32/M55</f>
        <v>557.29778260869568</v>
      </c>
      <c r="D32" s="17">
        <f>VLOOKUP(B$29,B$88:M$99,3)*B32/N55</f>
        <v>371.52691304347826</v>
      </c>
      <c r="E32" s="87"/>
      <c r="F32" s="88"/>
      <c r="G32" s="89"/>
      <c r="H32" s="95"/>
      <c r="I32" s="96"/>
      <c r="J32" s="61">
        <v>3</v>
      </c>
      <c r="K32" s="61" t="s">
        <v>33</v>
      </c>
      <c r="L32" s="61"/>
      <c r="M32" s="61">
        <f t="shared" si="4"/>
        <v>1</v>
      </c>
      <c r="N32" s="64">
        <f t="shared" si="5"/>
        <v>0</v>
      </c>
      <c r="O32" s="65">
        <v>0.08</v>
      </c>
      <c r="P32" s="76"/>
      <c r="Q32" s="75"/>
      <c r="R32" s="61"/>
      <c r="S32" s="63" t="s">
        <v>1</v>
      </c>
      <c r="T32" s="61">
        <v>352</v>
      </c>
      <c r="U32" s="61"/>
      <c r="V32" s="43"/>
    </row>
    <row r="33" spans="1:22" x14ac:dyDescent="0.25">
      <c r="A33" s="15">
        <v>3</v>
      </c>
      <c r="B33" s="211">
        <f t="shared" si="6"/>
        <v>698</v>
      </c>
      <c r="C33" s="16">
        <f>VLOOKUP(B$29,B$75:M$86,4)*B33/M55</f>
        <v>570.37382113821138</v>
      </c>
      <c r="D33" s="17">
        <f>VLOOKUP(B$29,B$88:M$99,4)*B33/N55</f>
        <v>380.25394308943083</v>
      </c>
      <c r="E33" s="87"/>
      <c r="F33" s="88"/>
      <c r="G33" s="89"/>
      <c r="H33" s="95"/>
      <c r="I33" s="96"/>
      <c r="J33" s="61">
        <v>4</v>
      </c>
      <c r="K33" s="61" t="s">
        <v>34</v>
      </c>
      <c r="L33" s="61"/>
      <c r="M33" s="61">
        <f t="shared" si="4"/>
        <v>1</v>
      </c>
      <c r="N33" s="64">
        <f t="shared" si="5"/>
        <v>0</v>
      </c>
      <c r="O33" s="65">
        <v>0.12</v>
      </c>
      <c r="P33" s="76"/>
      <c r="Q33" s="75"/>
      <c r="R33" s="61"/>
      <c r="S33" s="63" t="s">
        <v>21</v>
      </c>
      <c r="T33" s="61">
        <v>352</v>
      </c>
      <c r="U33" s="61"/>
      <c r="V33" s="43"/>
    </row>
    <row r="34" spans="1:22" x14ac:dyDescent="0.25">
      <c r="A34" s="15">
        <v>4</v>
      </c>
      <c r="B34" s="211">
        <f t="shared" si="6"/>
        <v>696</v>
      </c>
      <c r="C34" s="16">
        <f>VLOOKUP(B$29,B$75:M$86,5)*B34/M55</f>
        <v>189.48726392251814</v>
      </c>
      <c r="D34" s="17">
        <f>VLOOKUP(B$29,B$88:M$99,5)*B34/N55</f>
        <v>442.13694915254234</v>
      </c>
      <c r="E34" s="87"/>
      <c r="F34" s="88"/>
      <c r="G34" s="89"/>
      <c r="H34" s="95"/>
      <c r="I34" s="96"/>
      <c r="J34" s="61">
        <v>5</v>
      </c>
      <c r="K34" s="61" t="s">
        <v>35</v>
      </c>
      <c r="L34" s="61"/>
      <c r="M34" s="61">
        <f t="shared" si="4"/>
        <v>1</v>
      </c>
      <c r="N34" s="64">
        <f t="shared" si="5"/>
        <v>0</v>
      </c>
      <c r="O34" s="65">
        <v>0.16</v>
      </c>
      <c r="P34" s="76">
        <f>P66</f>
        <v>0.10157534317391498</v>
      </c>
      <c r="Q34" s="75">
        <f>Q66</f>
        <v>9.9737993056417368E-2</v>
      </c>
      <c r="R34" s="61"/>
      <c r="S34" s="63" t="s">
        <v>22</v>
      </c>
      <c r="T34" s="61">
        <v>433</v>
      </c>
      <c r="U34" s="61"/>
      <c r="V34" s="43"/>
    </row>
    <row r="35" spans="1:22" x14ac:dyDescent="0.25">
      <c r="A35" s="15">
        <v>5</v>
      </c>
      <c r="B35" s="211">
        <f t="shared" si="6"/>
        <v>1056</v>
      </c>
      <c r="C35" s="16">
        <f>VLOOKUP(B$29,B$75:M$86,6)*B35/M55</f>
        <v>719.10607287449386</v>
      </c>
      <c r="D35" s="17">
        <f>VLOOKUP(B$29,B$88:M$99,6)*B35/N55</f>
        <v>719.10607287449386</v>
      </c>
      <c r="E35" s="87"/>
      <c r="F35" s="88"/>
      <c r="G35" s="89"/>
      <c r="H35" s="95"/>
      <c r="I35" s="96"/>
      <c r="J35" s="61">
        <v>6</v>
      </c>
      <c r="K35" s="67" t="s">
        <v>36</v>
      </c>
      <c r="L35" s="61"/>
      <c r="M35" s="61">
        <f t="shared" si="4"/>
        <v>1</v>
      </c>
      <c r="N35" s="64">
        <f t="shared" si="5"/>
        <v>0</v>
      </c>
      <c r="O35" s="62"/>
      <c r="P35" s="62"/>
      <c r="Q35" s="61"/>
      <c r="R35" s="61"/>
      <c r="S35" s="63" t="s">
        <v>23</v>
      </c>
      <c r="T35" s="61">
        <v>433</v>
      </c>
      <c r="U35" s="61"/>
      <c r="V35" s="43"/>
    </row>
    <row r="36" spans="1:22" x14ac:dyDescent="0.25">
      <c r="A36" s="15">
        <v>6</v>
      </c>
      <c r="B36" s="211">
        <f t="shared" si="6"/>
        <v>784</v>
      </c>
      <c r="C36" s="16">
        <f>VLOOKUP(B$29,B$75:M$86,7)*B36/M55</f>
        <v>713.88714828897344</v>
      </c>
      <c r="D36" s="17">
        <f>VLOOKUP(B$29,B$88:M$99,7)*B36/N55</f>
        <v>305.95376425855511</v>
      </c>
      <c r="E36" s="87"/>
      <c r="F36" s="88"/>
      <c r="G36" s="89"/>
      <c r="H36" s="95"/>
      <c r="I36" s="96"/>
      <c r="J36" s="61">
        <v>7</v>
      </c>
      <c r="K36" s="61" t="s">
        <v>37</v>
      </c>
      <c r="L36" s="61"/>
      <c r="M36" s="61">
        <f t="shared" si="4"/>
        <v>1</v>
      </c>
      <c r="N36" s="64">
        <f t="shared" si="5"/>
        <v>0</v>
      </c>
      <c r="O36" s="61"/>
      <c r="P36" s="68"/>
      <c r="Q36" s="61"/>
      <c r="R36" s="61"/>
      <c r="S36" s="63" t="s">
        <v>24</v>
      </c>
      <c r="T36" s="61">
        <v>433</v>
      </c>
      <c r="U36" s="61"/>
      <c r="V36" s="43"/>
    </row>
    <row r="37" spans="1:22" x14ac:dyDescent="0.25">
      <c r="A37" s="15">
        <v>7</v>
      </c>
      <c r="B37" s="211">
        <f t="shared" si="6"/>
        <v>798</v>
      </c>
      <c r="C37" s="16">
        <f>VLOOKUP(B$29,B$75:M$86,8)*B37/M55</f>
        <v>759.90045889101339</v>
      </c>
      <c r="D37" s="17">
        <f>VLOOKUP(B$29,B$88:M$99,8)*B37/N55</f>
        <v>325.66944550669217</v>
      </c>
      <c r="E37" s="87"/>
      <c r="F37" s="88"/>
      <c r="G37" s="89"/>
      <c r="H37" s="95"/>
      <c r="I37" s="96"/>
      <c r="J37" s="61">
        <v>8</v>
      </c>
      <c r="K37" s="61" t="s">
        <v>38</v>
      </c>
      <c r="L37" s="61"/>
      <c r="M37" s="61">
        <f t="shared" si="4"/>
        <v>1</v>
      </c>
      <c r="N37" s="64">
        <f t="shared" si="5"/>
        <v>0</v>
      </c>
      <c r="O37" s="61"/>
      <c r="P37" s="61"/>
      <c r="Q37" s="61"/>
      <c r="R37" s="61"/>
      <c r="S37" s="63" t="s">
        <v>25</v>
      </c>
      <c r="T37" s="61">
        <v>442</v>
      </c>
      <c r="U37" s="61"/>
      <c r="V37" s="43"/>
    </row>
    <row r="38" spans="1:22" x14ac:dyDescent="0.25">
      <c r="A38" s="15">
        <v>8</v>
      </c>
      <c r="B38" s="211">
        <f t="shared" si="6"/>
        <v>446</v>
      </c>
      <c r="C38" s="16">
        <f>VLOOKUP(B$29,B$75:M$86,9)*B38/M55</f>
        <v>850.39311787072245</v>
      </c>
      <c r="D38" s="17">
        <f>VLOOKUP(B$29,B$88:M$99,9)*B38/N55</f>
        <v>364.44813688212935</v>
      </c>
      <c r="E38" s="87"/>
      <c r="F38" s="88"/>
      <c r="G38" s="89"/>
      <c r="H38" s="95"/>
      <c r="I38" s="96"/>
      <c r="J38" s="61">
        <v>9</v>
      </c>
      <c r="K38" s="61" t="s">
        <v>39</v>
      </c>
      <c r="L38" s="61"/>
      <c r="M38" s="61">
        <f t="shared" si="4"/>
        <v>1</v>
      </c>
      <c r="N38" s="64">
        <f t="shared" si="5"/>
        <v>0</v>
      </c>
      <c r="O38" s="61"/>
      <c r="P38" s="68"/>
      <c r="Q38" s="61"/>
      <c r="R38" s="61"/>
      <c r="S38" s="63" t="s">
        <v>26</v>
      </c>
      <c r="T38" s="61">
        <v>442</v>
      </c>
      <c r="U38" s="61"/>
      <c r="V38" s="43"/>
    </row>
    <row r="39" spans="1:22" x14ac:dyDescent="0.25">
      <c r="A39" s="15">
        <v>9</v>
      </c>
      <c r="B39" s="211">
        <f t="shared" si="6"/>
        <v>514</v>
      </c>
      <c r="C39" s="16">
        <f>VLOOKUP(B$29,B$75:M$86,10)*B39/M55</f>
        <v>1050.048257372654</v>
      </c>
      <c r="D39" s="17">
        <f>VLOOKUP(B$29,B$88:M$99,10)*B39/N55</f>
        <v>116.66284182305631</v>
      </c>
      <c r="E39" s="87"/>
      <c r="F39" s="88"/>
      <c r="G39" s="89"/>
      <c r="H39" s="95"/>
      <c r="I39" s="96"/>
      <c r="J39" s="61">
        <v>10</v>
      </c>
      <c r="K39" s="61" t="s">
        <v>40</v>
      </c>
      <c r="L39" s="61"/>
      <c r="M39" s="61">
        <f t="shared" si="4"/>
        <v>1</v>
      </c>
      <c r="N39" s="64">
        <f t="shared" si="5"/>
        <v>0</v>
      </c>
      <c r="O39" s="61"/>
      <c r="P39" s="61"/>
      <c r="Q39" s="61"/>
      <c r="R39" s="61"/>
      <c r="S39" s="63" t="s">
        <v>27</v>
      </c>
      <c r="T39" s="61">
        <v>442</v>
      </c>
      <c r="U39" s="61"/>
      <c r="V39" s="43"/>
    </row>
    <row r="40" spans="1:22" x14ac:dyDescent="0.25">
      <c r="A40" s="15">
        <v>10</v>
      </c>
      <c r="B40" s="211">
        <f t="shared" si="6"/>
        <v>574</v>
      </c>
      <c r="C40" s="16">
        <f>VLOOKUP(B$29,B$75:M$86,11)*B40/M55</f>
        <v>832.51</v>
      </c>
      <c r="D40" s="17">
        <f>VLOOKUP(B$29,B$88:M$99,11)*B40/N55</f>
        <v>208.12399999999997</v>
      </c>
      <c r="E40" s="87"/>
      <c r="F40" s="88"/>
      <c r="G40" s="89"/>
      <c r="H40" s="95"/>
      <c r="I40" s="96"/>
      <c r="J40" s="61">
        <v>11</v>
      </c>
      <c r="K40" s="61" t="s">
        <v>41</v>
      </c>
      <c r="L40" s="61"/>
      <c r="M40" s="61">
        <f t="shared" si="4"/>
        <v>1</v>
      </c>
      <c r="N40" s="64">
        <f t="shared" si="5"/>
        <v>0</v>
      </c>
      <c r="O40" s="61"/>
      <c r="P40" s="61"/>
      <c r="Q40" s="61"/>
      <c r="R40" s="61"/>
      <c r="S40" s="63" t="s">
        <v>28</v>
      </c>
      <c r="T40" s="61">
        <v>541</v>
      </c>
      <c r="U40" s="61"/>
      <c r="V40" s="43"/>
    </row>
    <row r="41" spans="1:22" ht="15.75" thickBot="1" x14ac:dyDescent="0.3">
      <c r="A41" s="15">
        <v>11</v>
      </c>
      <c r="B41" s="211">
        <f t="shared" si="6"/>
        <v>511</v>
      </c>
      <c r="C41" s="18">
        <f>VLOOKUP(B$29,B$75:M$86,12)*B41/M55</f>
        <v>973.01020242914979</v>
      </c>
      <c r="D41" s="19">
        <f>VLOOKUP(B$29,B$88:M$99,12)*B41/N55</f>
        <v>417.00289473684211</v>
      </c>
      <c r="E41" s="90"/>
      <c r="F41" s="91"/>
      <c r="G41" s="92"/>
      <c r="H41" s="97"/>
      <c r="I41" s="96"/>
      <c r="J41" s="61">
        <v>12</v>
      </c>
      <c r="K41" s="61" t="s">
        <v>42</v>
      </c>
      <c r="L41" s="68"/>
      <c r="M41" s="61">
        <f>IF(E43&gt;D43,0,1)</f>
        <v>1</v>
      </c>
      <c r="N41" s="64">
        <f>IF(E43&gt;D43,1,0)</f>
        <v>0</v>
      </c>
      <c r="O41" s="61"/>
      <c r="P41" s="61"/>
      <c r="Q41" s="61"/>
      <c r="R41" s="61"/>
      <c r="S41" s="63" t="s">
        <v>29</v>
      </c>
      <c r="T41" s="61">
        <v>541</v>
      </c>
      <c r="U41" s="61"/>
      <c r="V41" s="43"/>
    </row>
    <row r="42" spans="1:22" ht="16.5" thickBot="1" x14ac:dyDescent="0.3">
      <c r="A42" s="20" t="s">
        <v>5</v>
      </c>
      <c r="B42" s="21"/>
      <c r="C42" s="22">
        <f>SUM(C31:C41)</f>
        <v>7232.3558620911108</v>
      </c>
      <c r="D42" s="23">
        <f>SUM(D31:D41)</f>
        <v>3906.9297792943908</v>
      </c>
      <c r="E42" s="92"/>
      <c r="F42" s="98"/>
      <c r="G42" s="77">
        <v>0</v>
      </c>
      <c r="H42" s="77">
        <v>0</v>
      </c>
      <c r="I42" s="61"/>
      <c r="J42" s="61">
        <v>13</v>
      </c>
      <c r="K42" s="61" t="s">
        <v>43</v>
      </c>
      <c r="L42" s="45"/>
      <c r="M42" s="61">
        <f>IF(C46&gt;E46,1,0)</f>
        <v>1</v>
      </c>
      <c r="N42" s="64">
        <f>IF(E46&gt;C46,1,0)</f>
        <v>0</v>
      </c>
      <c r="O42" s="61" t="s">
        <v>44</v>
      </c>
      <c r="P42" s="61" t="s">
        <v>45</v>
      </c>
      <c r="Q42" s="61"/>
      <c r="R42" s="61"/>
      <c r="S42" s="63" t="s">
        <v>30</v>
      </c>
      <c r="T42" s="61">
        <v>541</v>
      </c>
      <c r="U42" s="61"/>
      <c r="V42" s="43"/>
    </row>
    <row r="43" spans="1:22" ht="19.5" thickBot="1" x14ac:dyDescent="0.35">
      <c r="A43" s="24" t="s">
        <v>6</v>
      </c>
      <c r="B43" s="25"/>
      <c r="C43" s="78">
        <f>C17</f>
        <v>1872</v>
      </c>
      <c r="D43" s="26">
        <f>IF(C43&gt;F43,I47,I46)</f>
        <v>0.04</v>
      </c>
      <c r="E43" s="99"/>
      <c r="F43" s="100"/>
      <c r="G43" s="77">
        <v>0.04</v>
      </c>
      <c r="H43" s="75">
        <v>2.5000000000000001E-2</v>
      </c>
      <c r="I43" s="61">
        <f>IF(C43&gt;F43,C43-F43,F43-C43)</f>
        <v>1872</v>
      </c>
      <c r="J43" s="69">
        <f>C42*C44+C42</f>
        <v>7521.6500965747555</v>
      </c>
      <c r="K43" s="69">
        <f>D42*C44+D42</f>
        <v>4063.2069704661662</v>
      </c>
      <c r="L43" s="61"/>
      <c r="M43" s="61">
        <f>SUM(M30:M42)</f>
        <v>13</v>
      </c>
      <c r="N43" s="64">
        <f>SUM(N30:N42)</f>
        <v>0</v>
      </c>
      <c r="O43" s="61">
        <f>E42*E44+E42</f>
        <v>0</v>
      </c>
      <c r="P43" s="61">
        <f>F42*E44+F42</f>
        <v>0</v>
      </c>
      <c r="Q43" s="61"/>
      <c r="R43" s="61"/>
      <c r="S43" s="63"/>
      <c r="T43" s="61"/>
      <c r="U43" s="61"/>
      <c r="V43" s="43"/>
    </row>
    <row r="44" spans="1:22" ht="18.75" x14ac:dyDescent="0.3">
      <c r="A44" s="27"/>
      <c r="B44" s="28" t="s">
        <v>7</v>
      </c>
      <c r="C44" s="29">
        <v>0.04</v>
      </c>
      <c r="D44" s="30"/>
      <c r="E44" s="101"/>
      <c r="F44" s="102"/>
      <c r="G44" s="77">
        <v>0.08</v>
      </c>
      <c r="H44" s="77">
        <v>0.05</v>
      </c>
      <c r="I44" s="61"/>
      <c r="J44" s="69">
        <f>J43*D43+J43</f>
        <v>7822.516100437746</v>
      </c>
      <c r="K44" s="69">
        <f>K43*D43+K43</f>
        <v>4225.7352492848131</v>
      </c>
      <c r="L44" s="61"/>
      <c r="M44" s="61"/>
      <c r="N44" s="61"/>
      <c r="O44" s="61">
        <f>O43*E43+O43</f>
        <v>0</v>
      </c>
      <c r="P44" s="61">
        <f>P43*E43+P43</f>
        <v>0</v>
      </c>
      <c r="Q44" s="61"/>
      <c r="R44" s="66">
        <v>0</v>
      </c>
      <c r="S44" s="63"/>
      <c r="T44" s="61"/>
      <c r="U44" s="61"/>
      <c r="V44" s="43"/>
    </row>
    <row r="45" spans="1:22" ht="18.75" x14ac:dyDescent="0.3">
      <c r="A45" s="31"/>
      <c r="B45" s="28" t="s">
        <v>8</v>
      </c>
      <c r="C45" s="32">
        <v>0.1</v>
      </c>
      <c r="D45" s="32"/>
      <c r="E45" s="103"/>
      <c r="F45" s="104"/>
      <c r="G45" s="77">
        <v>0.12</v>
      </c>
      <c r="H45" s="75">
        <v>7.4999999999999997E-2</v>
      </c>
      <c r="I45" s="56">
        <f>I43/20000</f>
        <v>9.3600000000000003E-2</v>
      </c>
      <c r="J45" s="69">
        <f>J44*C45+J44</f>
        <v>8604.7677104815211</v>
      </c>
      <c r="K45" s="69">
        <f>K44*C45+K44</f>
        <v>4648.3087742132948</v>
      </c>
      <c r="L45" s="61"/>
      <c r="M45" s="61"/>
      <c r="N45" s="61"/>
      <c r="O45" s="61">
        <f>O44*E45+O44</f>
        <v>0</v>
      </c>
      <c r="P45" s="61">
        <f>P44*E45+P44</f>
        <v>0</v>
      </c>
      <c r="Q45" s="61"/>
      <c r="R45" s="66">
        <v>0.1</v>
      </c>
      <c r="S45" s="63"/>
      <c r="T45" s="61"/>
      <c r="U45" s="61"/>
      <c r="V45" s="43"/>
    </row>
    <row r="46" spans="1:22" ht="18.75" x14ac:dyDescent="0.3">
      <c r="A46" s="31"/>
      <c r="B46" s="28" t="s">
        <v>9</v>
      </c>
      <c r="C46" s="33">
        <v>0.01</v>
      </c>
      <c r="D46" s="33"/>
      <c r="E46" s="105"/>
      <c r="F46" s="106"/>
      <c r="G46" s="77">
        <v>0.16</v>
      </c>
      <c r="H46" s="77">
        <v>0.1</v>
      </c>
      <c r="I46" s="66">
        <v>0</v>
      </c>
      <c r="J46" s="69">
        <f>J45*C46+J45</f>
        <v>8690.8153875863372</v>
      </c>
      <c r="K46" s="69">
        <f>K45*C46+K45</f>
        <v>4694.7918619554275</v>
      </c>
      <c r="L46" s="61"/>
      <c r="M46" s="61"/>
      <c r="N46" s="61"/>
      <c r="O46" s="61">
        <f>O45*E46+O45</f>
        <v>0</v>
      </c>
      <c r="P46" s="61">
        <f>P45*E46+P45</f>
        <v>0</v>
      </c>
      <c r="Q46" s="61"/>
      <c r="R46" s="61"/>
      <c r="S46" s="61"/>
      <c r="T46" s="61"/>
      <c r="U46" s="61"/>
      <c r="V46" s="43"/>
    </row>
    <row r="47" spans="1:22" ht="18.75" x14ac:dyDescent="0.3">
      <c r="A47" s="31"/>
      <c r="B47" s="28" t="s">
        <v>10</v>
      </c>
      <c r="C47" s="34">
        <v>0.05</v>
      </c>
      <c r="D47" s="34"/>
      <c r="E47" s="103"/>
      <c r="F47" s="104"/>
      <c r="G47" s="71"/>
      <c r="H47" s="61" t="s">
        <v>46</v>
      </c>
      <c r="I47" s="56">
        <f>IF(I45&gt;4%,4%,I45)</f>
        <v>0.04</v>
      </c>
      <c r="J47" s="69">
        <f>J46*C47+J46</f>
        <v>9125.356156965654</v>
      </c>
      <c r="K47" s="69">
        <f>K46*C47+K46</f>
        <v>4929.5314550531984</v>
      </c>
      <c r="L47" s="61"/>
      <c r="M47" s="61"/>
      <c r="N47" s="61"/>
      <c r="O47" s="61">
        <f t="shared" ref="O47:O49" si="7">O46*E47+O46</f>
        <v>0</v>
      </c>
      <c r="P47" s="61">
        <f t="shared" ref="P47:P49" si="8">P46*E47+P46</f>
        <v>0</v>
      </c>
      <c r="Q47" s="61"/>
      <c r="R47" s="61"/>
      <c r="S47" s="61" t="s">
        <v>47</v>
      </c>
      <c r="T47" s="61" t="s">
        <v>48</v>
      </c>
      <c r="U47" s="61" t="s">
        <v>47</v>
      </c>
      <c r="V47" s="43"/>
    </row>
    <row r="48" spans="1:22" ht="19.5" thickBot="1" x14ac:dyDescent="0.35">
      <c r="A48" s="35"/>
      <c r="B48" s="28" t="s">
        <v>11</v>
      </c>
      <c r="C48" s="36">
        <v>0.16</v>
      </c>
      <c r="D48" s="36"/>
      <c r="E48" s="107"/>
      <c r="F48" s="108"/>
      <c r="G48" s="71"/>
      <c r="H48" s="61"/>
      <c r="I48" s="61"/>
      <c r="J48" s="69">
        <f>J47*C48+J47</f>
        <v>10585.413142080159</v>
      </c>
      <c r="K48" s="69">
        <f>K47*C48+K47</f>
        <v>5718.2564878617104</v>
      </c>
      <c r="L48" s="61"/>
      <c r="M48" s="61"/>
      <c r="N48" s="61"/>
      <c r="O48" s="61">
        <f t="shared" si="7"/>
        <v>0</v>
      </c>
      <c r="P48" s="61">
        <f t="shared" si="8"/>
        <v>0</v>
      </c>
      <c r="Q48" s="61"/>
      <c r="R48" s="61"/>
      <c r="S48" s="61">
        <f>VLOOKUP(B29,S31:T42,2)</f>
        <v>433</v>
      </c>
      <c r="T48" s="61">
        <f>VLOOKUP(E29,S31:T42,2)</f>
        <v>352</v>
      </c>
      <c r="U48" s="61">
        <f>S48-T48</f>
        <v>81</v>
      </c>
      <c r="V48" s="63">
        <f>S48-T48</f>
        <v>81</v>
      </c>
    </row>
    <row r="49" spans="1:22" ht="19.5" thickBot="1" x14ac:dyDescent="0.35">
      <c r="A49" s="37" t="s">
        <v>12</v>
      </c>
      <c r="B49" s="38"/>
      <c r="C49" s="212">
        <v>0.15</v>
      </c>
      <c r="D49" s="213"/>
      <c r="E49" s="109"/>
      <c r="F49" s="110"/>
      <c r="G49" s="70"/>
      <c r="H49" s="43">
        <f>I49/2</f>
        <v>6.9874312150871116</v>
      </c>
      <c r="I49" s="61">
        <f>J49*0.1148%</f>
        <v>13.974862430174223</v>
      </c>
      <c r="J49" s="69">
        <f>J48*C49+J48</f>
        <v>12173.225113392182</v>
      </c>
      <c r="K49" s="69">
        <f>K48*C49+K48</f>
        <v>6575.9949610409667</v>
      </c>
      <c r="L49" s="61"/>
      <c r="M49" s="61"/>
      <c r="N49" s="61"/>
      <c r="O49" s="61">
        <f t="shared" si="7"/>
        <v>0</v>
      </c>
      <c r="P49" s="61">
        <f t="shared" si="8"/>
        <v>0</v>
      </c>
      <c r="Q49" s="61"/>
      <c r="R49" s="61"/>
      <c r="S49" s="56"/>
      <c r="T49" s="61"/>
      <c r="U49" s="61"/>
      <c r="V49" s="43"/>
    </row>
    <row r="50" spans="1:22" ht="19.5" thickBot="1" x14ac:dyDescent="0.35">
      <c r="A50" s="39" t="s">
        <v>13</v>
      </c>
      <c r="B50" s="40"/>
      <c r="C50" s="41">
        <f>J49+I49</f>
        <v>12187.199975822356</v>
      </c>
      <c r="D50" s="42">
        <f>K49+H49</f>
        <v>6582.9823922560536</v>
      </c>
      <c r="E50" s="111"/>
      <c r="F50" s="112"/>
      <c r="G50" s="43"/>
      <c r="H50" s="43"/>
      <c r="I50" s="61" t="s">
        <v>47</v>
      </c>
      <c r="J50" s="61" t="s">
        <v>48</v>
      </c>
      <c r="K50" s="61" t="s">
        <v>49</v>
      </c>
      <c r="L50" s="61"/>
      <c r="M50" s="61"/>
      <c r="N50" s="61"/>
      <c r="O50" s="61"/>
      <c r="P50" s="61"/>
      <c r="Q50" s="61"/>
      <c r="R50" s="61"/>
      <c r="S50" s="61"/>
      <c r="T50" s="61"/>
      <c r="U50" s="61"/>
      <c r="V50" s="43"/>
    </row>
    <row r="51" spans="1:22" ht="31.5" customHeight="1" thickBot="1" x14ac:dyDescent="0.3">
      <c r="A51" s="1"/>
      <c r="B51" s="43"/>
      <c r="C51" s="72"/>
      <c r="D51" s="73"/>
      <c r="E51" s="73"/>
      <c r="F51" s="74"/>
      <c r="G51" s="43"/>
      <c r="H51" s="43"/>
      <c r="I51" s="61">
        <f>IF(C50&gt;F50,C50-F50,L51)</f>
        <v>12187.199975822356</v>
      </c>
      <c r="J51" s="61">
        <f>IF(E50&gt;D50,E50-D50,M51)</f>
        <v>0</v>
      </c>
      <c r="K51" s="61" t="str">
        <f>IF(I51=J51,Q51,IF(I51&gt;J51,N51,O51))</f>
        <v>Vous avez gagner</v>
      </c>
      <c r="L51" s="61">
        <v>0</v>
      </c>
      <c r="M51" s="61">
        <v>0</v>
      </c>
      <c r="N51" s="61" t="s">
        <v>50</v>
      </c>
      <c r="O51" s="61" t="s">
        <v>51</v>
      </c>
      <c r="P51" s="61"/>
      <c r="Q51" s="61" t="s">
        <v>52</v>
      </c>
      <c r="R51" s="61"/>
      <c r="S51" s="61"/>
      <c r="T51" s="61"/>
      <c r="U51" s="61"/>
      <c r="V51" s="43"/>
    </row>
    <row r="52" spans="1:22" ht="1.5" hidden="1" customHeight="1" x14ac:dyDescent="0.25">
      <c r="A52" s="1"/>
      <c r="B52" s="43"/>
      <c r="C52" s="43"/>
      <c r="D52" s="43"/>
      <c r="E52" s="43"/>
      <c r="F52" s="43"/>
      <c r="G52" s="43"/>
      <c r="H52" s="43"/>
      <c r="I52" s="43"/>
      <c r="J52" s="43"/>
      <c r="K52" s="43"/>
      <c r="L52" s="43"/>
      <c r="M52" s="43"/>
      <c r="N52" s="43"/>
      <c r="O52" s="43"/>
      <c r="P52" s="43"/>
      <c r="Q52" s="43"/>
      <c r="R52" s="43"/>
      <c r="S52" s="43"/>
      <c r="T52" s="43"/>
      <c r="U52" s="43"/>
      <c r="V52" s="43"/>
    </row>
    <row r="53" spans="1:22" ht="1.5" hidden="1" customHeight="1" x14ac:dyDescent="0.25">
      <c r="A53" s="1"/>
      <c r="B53" s="43"/>
      <c r="C53" s="43"/>
      <c r="D53" s="43"/>
      <c r="E53" s="43"/>
      <c r="F53" s="43"/>
      <c r="G53" s="43"/>
      <c r="H53" s="43"/>
      <c r="I53" s="43"/>
      <c r="J53" s="43"/>
      <c r="K53" s="43"/>
      <c r="L53" s="43"/>
      <c r="M53" s="43"/>
      <c r="N53" s="43"/>
      <c r="O53" s="43"/>
      <c r="P53" s="43"/>
      <c r="Q53" s="43"/>
      <c r="R53" s="43"/>
      <c r="S53" s="43"/>
      <c r="T53" s="44"/>
      <c r="U53" s="43"/>
      <c r="V53" s="43"/>
    </row>
    <row r="54" spans="1:22" ht="1.5" hidden="1" customHeight="1" x14ac:dyDescent="0.25">
      <c r="A54" s="43"/>
      <c r="B54" s="45"/>
      <c r="C54" s="45"/>
      <c r="D54" s="45"/>
      <c r="E54" s="45"/>
      <c r="F54" s="45"/>
      <c r="G54" s="45"/>
      <c r="H54" s="45" t="s">
        <v>14</v>
      </c>
      <c r="I54" s="45" t="s">
        <v>15</v>
      </c>
      <c r="J54" s="45" t="s">
        <v>16</v>
      </c>
      <c r="K54" s="45" t="s">
        <v>17</v>
      </c>
      <c r="L54" s="45"/>
      <c r="M54" s="46" t="s">
        <v>18</v>
      </c>
      <c r="N54" s="47" t="s">
        <v>15</v>
      </c>
      <c r="O54" s="47" t="s">
        <v>19</v>
      </c>
      <c r="P54" s="47" t="s">
        <v>17</v>
      </c>
      <c r="Q54" s="43"/>
      <c r="R54" s="43"/>
      <c r="S54" s="43"/>
      <c r="T54" s="43"/>
      <c r="U54" s="43"/>
      <c r="V54" s="43"/>
    </row>
    <row r="55" spans="1:22" ht="1.5" hidden="1" customHeight="1" x14ac:dyDescent="0.25">
      <c r="A55" s="48"/>
      <c r="B55" s="45"/>
      <c r="C55" s="45"/>
      <c r="D55" s="45"/>
      <c r="E55" s="45"/>
      <c r="F55" s="45"/>
      <c r="G55" s="45"/>
      <c r="H55" s="49">
        <f>VLOOKUP(C22,O30:Q34,2)*100</f>
        <v>0</v>
      </c>
      <c r="I55" s="50">
        <f>VLOOKUP(C22,O30:Q34,2)*100</f>
        <v>0</v>
      </c>
      <c r="J55" s="50">
        <f>VLOOKUP(E22,O30:Q34,2)*100</f>
        <v>2.2722517579574344</v>
      </c>
      <c r="K55" s="50">
        <f>VLOOKUP(E22,O30:Q34,3)*100</f>
        <v>2.562116274752078</v>
      </c>
      <c r="L55" s="45"/>
      <c r="M55" s="51">
        <f>100+H55</f>
        <v>100</v>
      </c>
      <c r="N55" s="52">
        <f>100+I55</f>
        <v>100</v>
      </c>
      <c r="O55" s="52">
        <f>100+J55</f>
        <v>102.27225175795743</v>
      </c>
      <c r="P55" s="52">
        <v>110.16</v>
      </c>
      <c r="Q55" s="43"/>
      <c r="R55" s="43"/>
      <c r="S55" s="43">
        <v>10873.83</v>
      </c>
      <c r="T55" s="53">
        <f>S55-C50</f>
        <v>-1313.3699758223556</v>
      </c>
      <c r="U55" s="43"/>
      <c r="V55" s="43"/>
    </row>
    <row r="56" spans="1:22" ht="1.5" hidden="1" customHeight="1" x14ac:dyDescent="0.25">
      <c r="A56" s="48"/>
      <c r="B56" s="45"/>
      <c r="C56" s="45"/>
      <c r="D56" s="45"/>
      <c r="E56" s="45"/>
      <c r="F56" s="45"/>
      <c r="G56" s="45"/>
      <c r="H56" s="50"/>
      <c r="I56" s="50"/>
      <c r="J56" s="50"/>
      <c r="K56" s="50"/>
      <c r="L56" s="45"/>
      <c r="M56" s="45"/>
      <c r="N56" s="43"/>
      <c r="O56" s="43"/>
      <c r="P56" s="43"/>
      <c r="Q56" s="43"/>
      <c r="R56" s="54">
        <v>0.11331679711607254</v>
      </c>
      <c r="S56" s="43"/>
      <c r="T56" s="55">
        <f>T55*100/S55</f>
        <v>-12.078264749608515</v>
      </c>
      <c r="U56" s="43"/>
      <c r="V56" s="43"/>
    </row>
    <row r="57" spans="1:22" ht="1.5" hidden="1" customHeight="1" x14ac:dyDescent="0.25">
      <c r="A57" s="43"/>
      <c r="B57" s="55">
        <v>352</v>
      </c>
      <c r="C57" s="43">
        <v>541</v>
      </c>
      <c r="D57" s="43">
        <f t="shared" ref="D57:D72" si="9">B57-C57</f>
        <v>-189</v>
      </c>
      <c r="E57" s="56">
        <v>0</v>
      </c>
      <c r="F57" s="56">
        <v>0.15</v>
      </c>
      <c r="G57" s="43"/>
      <c r="H57" s="53"/>
      <c r="I57" s="53"/>
      <c r="J57" s="53"/>
      <c r="K57" s="53"/>
      <c r="L57" s="43"/>
      <c r="M57" s="43"/>
      <c r="N57" s="43"/>
      <c r="O57" s="43"/>
      <c r="P57" s="43"/>
      <c r="Q57" s="43"/>
      <c r="R57" s="43"/>
      <c r="S57" s="43"/>
      <c r="T57" s="43"/>
      <c r="U57" s="43"/>
      <c r="V57" s="43"/>
    </row>
    <row r="58" spans="1:22" ht="1.5" hidden="1" customHeight="1" thickBot="1" x14ac:dyDescent="0.3">
      <c r="A58" s="43"/>
      <c r="B58" s="55">
        <v>433</v>
      </c>
      <c r="C58" s="43">
        <v>541</v>
      </c>
      <c r="D58" s="43">
        <f t="shared" si="9"/>
        <v>-108</v>
      </c>
      <c r="E58" s="56">
        <v>0.15</v>
      </c>
      <c r="F58" s="56">
        <v>0</v>
      </c>
      <c r="G58" s="43"/>
      <c r="H58" s="43"/>
      <c r="I58" s="43"/>
      <c r="J58" s="43"/>
      <c r="K58" s="43"/>
      <c r="L58" s="43"/>
      <c r="M58" s="43"/>
      <c r="N58" s="43"/>
      <c r="O58" s="43"/>
      <c r="P58" s="43"/>
      <c r="Q58" s="43"/>
      <c r="R58" s="43"/>
      <c r="S58" s="43"/>
      <c r="T58" s="43"/>
      <c r="U58" s="43"/>
      <c r="V58" s="43"/>
    </row>
    <row r="59" spans="1:22" ht="1.5" hidden="1" customHeight="1" thickBot="1" x14ac:dyDescent="0.3">
      <c r="A59" s="43"/>
      <c r="B59" s="55">
        <v>442</v>
      </c>
      <c r="C59" s="43">
        <v>541</v>
      </c>
      <c r="D59" s="43">
        <f t="shared" si="9"/>
        <v>-99</v>
      </c>
      <c r="E59" s="56">
        <v>0</v>
      </c>
      <c r="F59" s="56">
        <v>0</v>
      </c>
      <c r="G59" s="43"/>
      <c r="H59" s="57"/>
      <c r="I59" s="57"/>
      <c r="J59" s="57"/>
      <c r="K59" s="57"/>
      <c r="L59" s="43"/>
      <c r="M59" s="43"/>
      <c r="N59" s="43"/>
      <c r="O59" s="43"/>
      <c r="P59" s="43"/>
      <c r="Q59" s="43"/>
      <c r="R59" s="43"/>
      <c r="S59" s="43"/>
      <c r="T59" s="43"/>
      <c r="U59" s="43"/>
      <c r="V59" s="43"/>
    </row>
    <row r="60" spans="1:22" ht="1.5" hidden="1" customHeight="1" x14ac:dyDescent="0.25">
      <c r="A60" s="43"/>
      <c r="B60" s="55">
        <v>352</v>
      </c>
      <c r="C60" s="43">
        <v>442</v>
      </c>
      <c r="D60" s="43">
        <f t="shared" si="9"/>
        <v>-90</v>
      </c>
      <c r="E60" s="56">
        <v>0.15</v>
      </c>
      <c r="F60" s="56">
        <v>0</v>
      </c>
      <c r="G60" s="43"/>
      <c r="H60" s="53"/>
      <c r="I60" s="53"/>
      <c r="J60" s="53"/>
      <c r="K60" s="53"/>
      <c r="L60" s="43"/>
      <c r="M60" s="43"/>
      <c r="N60" s="43"/>
      <c r="O60" s="43"/>
      <c r="P60" s="43"/>
      <c r="Q60" s="43"/>
      <c r="R60" s="43"/>
      <c r="S60" s="43"/>
      <c r="T60" s="43"/>
      <c r="U60" s="43"/>
      <c r="V60" s="43"/>
    </row>
    <row r="61" spans="1:22" ht="1.5" hidden="1" customHeight="1" x14ac:dyDescent="0.25">
      <c r="A61" s="43"/>
      <c r="B61" s="55">
        <v>352</v>
      </c>
      <c r="C61" s="43">
        <v>433</v>
      </c>
      <c r="D61" s="43">
        <f t="shared" si="9"/>
        <v>-81</v>
      </c>
      <c r="E61" s="56">
        <v>0</v>
      </c>
      <c r="F61" s="56">
        <v>0</v>
      </c>
      <c r="G61" s="43"/>
      <c r="H61" s="43"/>
      <c r="I61" s="43"/>
      <c r="J61" s="43"/>
      <c r="K61" s="43"/>
      <c r="L61" s="43"/>
      <c r="M61" s="43"/>
      <c r="N61" s="43"/>
      <c r="O61" s="43"/>
      <c r="P61" s="43"/>
      <c r="Q61" s="43"/>
      <c r="R61" s="43"/>
      <c r="S61" s="43"/>
      <c r="T61" s="43"/>
      <c r="U61" s="43"/>
      <c r="V61" s="43"/>
    </row>
    <row r="62" spans="1:22" ht="1.5" hidden="1" customHeight="1" x14ac:dyDescent="0.25">
      <c r="A62" s="43"/>
      <c r="B62" s="55">
        <v>433</v>
      </c>
      <c r="C62" s="43">
        <v>442</v>
      </c>
      <c r="D62" s="43">
        <f t="shared" si="9"/>
        <v>-9</v>
      </c>
      <c r="E62" s="56">
        <v>0</v>
      </c>
      <c r="F62" s="56">
        <v>0.15</v>
      </c>
      <c r="G62" s="43"/>
      <c r="H62" s="58">
        <v>0</v>
      </c>
      <c r="I62" s="58"/>
      <c r="J62" s="58">
        <v>0.04</v>
      </c>
      <c r="K62" s="58"/>
      <c r="L62" s="58">
        <v>0.08</v>
      </c>
      <c r="M62" s="58"/>
      <c r="N62" s="58">
        <v>0.12</v>
      </c>
      <c r="O62" s="58"/>
      <c r="P62" s="58">
        <v>0.16</v>
      </c>
      <c r="Q62" s="58"/>
      <c r="R62" s="43"/>
      <c r="S62" s="43"/>
      <c r="T62" s="43"/>
      <c r="U62" s="43"/>
      <c r="V62" s="43"/>
    </row>
    <row r="63" spans="1:22" ht="1.5" hidden="1" customHeight="1" x14ac:dyDescent="0.25">
      <c r="A63" s="43"/>
      <c r="B63" s="55">
        <v>352</v>
      </c>
      <c r="C63" s="43">
        <v>352</v>
      </c>
      <c r="D63" s="43">
        <f t="shared" si="9"/>
        <v>0</v>
      </c>
      <c r="E63" s="56">
        <v>0</v>
      </c>
      <c r="F63" s="56">
        <v>0</v>
      </c>
      <c r="G63" s="43"/>
      <c r="H63" s="43">
        <v>7695.01</v>
      </c>
      <c r="I63" s="43">
        <v>3123.98</v>
      </c>
      <c r="J63" s="43">
        <v>5419.73</v>
      </c>
      <c r="K63" s="43">
        <v>3539.49</v>
      </c>
      <c r="L63" s="43"/>
      <c r="M63" s="43"/>
      <c r="N63" s="43"/>
      <c r="O63" s="43"/>
      <c r="P63" s="43">
        <v>5803.18</v>
      </c>
      <c r="Q63" s="43">
        <v>8782.2099999999991</v>
      </c>
      <c r="R63" s="43"/>
      <c r="S63" s="43"/>
      <c r="T63" s="43"/>
      <c r="U63" s="43"/>
      <c r="V63" s="43"/>
    </row>
    <row r="64" spans="1:22" ht="1.5" hidden="1" customHeight="1" x14ac:dyDescent="0.25">
      <c r="A64" s="43"/>
      <c r="B64" s="55">
        <v>433</v>
      </c>
      <c r="C64" s="43">
        <v>433</v>
      </c>
      <c r="D64" s="43">
        <f t="shared" si="9"/>
        <v>0</v>
      </c>
      <c r="E64" s="56">
        <v>0</v>
      </c>
      <c r="F64" s="56">
        <v>0</v>
      </c>
      <c r="G64" s="43"/>
      <c r="H64" s="43">
        <v>7520.16</v>
      </c>
      <c r="I64" s="43">
        <v>3043.94</v>
      </c>
      <c r="J64" s="43">
        <v>5253.33</v>
      </c>
      <c r="K64" s="43">
        <v>3431.91</v>
      </c>
      <c r="L64" s="43"/>
      <c r="M64" s="43"/>
      <c r="N64" s="43"/>
      <c r="O64" s="43"/>
      <c r="P64" s="43">
        <v>5213.72</v>
      </c>
      <c r="Q64" s="43">
        <v>7906.29</v>
      </c>
      <c r="R64" s="43"/>
      <c r="S64" s="43"/>
      <c r="T64" s="43"/>
      <c r="U64" s="43"/>
      <c r="V64" s="43"/>
    </row>
    <row r="65" spans="1:22" ht="1.5" hidden="1" customHeight="1" x14ac:dyDescent="0.25">
      <c r="A65" s="43"/>
      <c r="B65" s="55">
        <v>442</v>
      </c>
      <c r="C65" s="43">
        <v>442</v>
      </c>
      <c r="D65" s="43">
        <f t="shared" si="9"/>
        <v>0</v>
      </c>
      <c r="E65" s="56">
        <v>0</v>
      </c>
      <c r="F65" s="56">
        <v>0</v>
      </c>
      <c r="G65" s="43"/>
      <c r="H65" s="43">
        <f>H63-H64</f>
        <v>174.85000000000036</v>
      </c>
      <c r="I65" s="43">
        <f>I63-I64</f>
        <v>80.039999999999964</v>
      </c>
      <c r="J65" s="43">
        <f>J63-J64</f>
        <v>166.39999999999964</v>
      </c>
      <c r="K65" s="43">
        <f>K63-K64</f>
        <v>107.57999999999993</v>
      </c>
      <c r="L65" s="43"/>
      <c r="M65" s="43"/>
      <c r="N65" s="43"/>
      <c r="O65" s="43"/>
      <c r="P65" s="43">
        <f>P63-P64</f>
        <v>589.46</v>
      </c>
      <c r="Q65" s="43">
        <f>Q63-Q64</f>
        <v>875.91999999999916</v>
      </c>
      <c r="R65" s="43"/>
      <c r="S65" s="43"/>
      <c r="T65" s="43"/>
      <c r="U65" s="43"/>
      <c r="V65" s="43"/>
    </row>
    <row r="66" spans="1:22" ht="1.5" hidden="1" customHeight="1" x14ac:dyDescent="0.25">
      <c r="A66" s="43"/>
      <c r="B66" s="55">
        <v>541</v>
      </c>
      <c r="C66" s="43">
        <v>541</v>
      </c>
      <c r="D66" s="43">
        <f t="shared" si="9"/>
        <v>0</v>
      </c>
      <c r="E66" s="56">
        <v>0</v>
      </c>
      <c r="F66" s="56">
        <v>0</v>
      </c>
      <c r="G66" s="43"/>
      <c r="H66" s="59">
        <f>H65*100/H63/100</f>
        <v>2.2722517579574344E-2</v>
      </c>
      <c r="I66" s="59">
        <f>I65*100/I63/100</f>
        <v>2.5621162747520781E-2</v>
      </c>
      <c r="J66" s="56">
        <f>J65*100/J63/100</f>
        <v>3.070263647820088E-2</v>
      </c>
      <c r="K66" s="56">
        <f>K65*100/K63/100</f>
        <v>3.0394209335243193E-2</v>
      </c>
      <c r="L66" s="43"/>
      <c r="M66" s="43"/>
      <c r="N66" s="43"/>
      <c r="O66" s="43"/>
      <c r="P66" s="59">
        <f>P65*100/P63/100</f>
        <v>0.10157534317391498</v>
      </c>
      <c r="Q66" s="59">
        <f>Q65*100/Q63/100</f>
        <v>9.9737993056417368E-2</v>
      </c>
      <c r="R66" s="43"/>
      <c r="S66" s="43"/>
      <c r="T66" s="43"/>
      <c r="U66" s="43"/>
      <c r="V66" s="43"/>
    </row>
    <row r="67" spans="1:22" ht="1.5" hidden="1" customHeight="1" x14ac:dyDescent="0.25">
      <c r="A67" s="43"/>
      <c r="B67" s="55">
        <v>442</v>
      </c>
      <c r="C67" s="43">
        <v>433</v>
      </c>
      <c r="D67" s="43">
        <f t="shared" si="9"/>
        <v>9</v>
      </c>
      <c r="E67" s="56">
        <v>0.15</v>
      </c>
      <c r="F67" s="56">
        <v>0</v>
      </c>
      <c r="G67" s="43"/>
      <c r="H67" s="43"/>
      <c r="I67" s="43"/>
      <c r="J67" s="43"/>
      <c r="K67" s="43"/>
      <c r="L67" s="43"/>
      <c r="M67" s="43"/>
      <c r="N67" s="43"/>
      <c r="O67" s="43"/>
      <c r="P67" s="43"/>
      <c r="Q67" s="43"/>
      <c r="R67" s="43"/>
      <c r="S67" s="43"/>
      <c r="T67" s="43"/>
      <c r="U67" s="43"/>
      <c r="V67" s="43"/>
    </row>
    <row r="68" spans="1:22" ht="1.5" hidden="1" customHeight="1" x14ac:dyDescent="0.25">
      <c r="A68" s="43"/>
      <c r="B68" s="55">
        <v>433</v>
      </c>
      <c r="C68" s="43">
        <v>352</v>
      </c>
      <c r="D68" s="43">
        <f t="shared" si="9"/>
        <v>81</v>
      </c>
      <c r="E68" s="56">
        <v>0</v>
      </c>
      <c r="F68" s="56">
        <v>0</v>
      </c>
      <c r="G68" s="43"/>
      <c r="H68" s="43"/>
      <c r="I68" s="43"/>
      <c r="J68" s="43"/>
      <c r="K68" s="43"/>
      <c r="L68" s="43"/>
      <c r="M68" s="43"/>
      <c r="N68" s="43"/>
      <c r="O68" s="43"/>
      <c r="P68" s="43"/>
      <c r="Q68" s="43"/>
      <c r="R68" s="43"/>
      <c r="S68" s="43"/>
      <c r="T68" s="43"/>
      <c r="U68" s="43"/>
      <c r="V68" s="43"/>
    </row>
    <row r="69" spans="1:22" ht="1.5" hidden="1" customHeight="1" x14ac:dyDescent="0.25">
      <c r="A69" s="43"/>
      <c r="B69" s="55">
        <v>442</v>
      </c>
      <c r="C69" s="43">
        <v>352</v>
      </c>
      <c r="D69" s="43">
        <f t="shared" si="9"/>
        <v>90</v>
      </c>
      <c r="E69" s="56">
        <v>0</v>
      </c>
      <c r="F69" s="56">
        <v>0.15</v>
      </c>
      <c r="G69" s="43"/>
      <c r="H69" s="43"/>
      <c r="I69" s="43"/>
      <c r="J69" s="43"/>
      <c r="K69" s="43"/>
      <c r="L69" s="43"/>
      <c r="M69" s="43"/>
      <c r="N69" s="43"/>
      <c r="O69" s="43"/>
      <c r="P69" s="43"/>
      <c r="Q69" s="43"/>
      <c r="R69" s="43"/>
      <c r="S69" s="43"/>
      <c r="T69" s="43"/>
      <c r="U69" s="43"/>
      <c r="V69" s="43"/>
    </row>
    <row r="70" spans="1:22" ht="1.5" hidden="1" customHeight="1" x14ac:dyDescent="0.25">
      <c r="A70" s="43"/>
      <c r="B70" s="55">
        <v>541</v>
      </c>
      <c r="C70" s="43">
        <v>442</v>
      </c>
      <c r="D70" s="43">
        <f t="shared" si="9"/>
        <v>99</v>
      </c>
      <c r="E70" s="56">
        <v>0</v>
      </c>
      <c r="F70" s="56">
        <v>0</v>
      </c>
      <c r="G70" s="43"/>
      <c r="H70" s="43"/>
      <c r="I70" s="43"/>
      <c r="J70" s="43"/>
      <c r="K70" s="43"/>
      <c r="L70" s="43"/>
      <c r="M70" s="43"/>
      <c r="N70" s="43"/>
      <c r="O70" s="43"/>
      <c r="P70" s="43"/>
      <c r="Q70" s="43"/>
      <c r="R70" s="43"/>
      <c r="S70" s="43"/>
      <c r="T70" s="43"/>
      <c r="U70" s="43"/>
      <c r="V70" s="43"/>
    </row>
    <row r="71" spans="1:22" ht="1.5" hidden="1" customHeight="1" x14ac:dyDescent="0.25">
      <c r="A71" s="43"/>
      <c r="B71" s="55">
        <v>541</v>
      </c>
      <c r="C71" s="43">
        <v>433</v>
      </c>
      <c r="D71" s="43">
        <f t="shared" si="9"/>
        <v>108</v>
      </c>
      <c r="E71" s="56">
        <v>0</v>
      </c>
      <c r="F71" s="56">
        <v>0.15</v>
      </c>
      <c r="G71" s="43"/>
      <c r="H71" s="43"/>
      <c r="I71" s="43"/>
      <c r="J71" s="43"/>
      <c r="K71" s="43"/>
      <c r="L71" s="43"/>
      <c r="M71" s="43"/>
      <c r="N71" s="43"/>
      <c r="O71" s="43"/>
      <c r="P71" s="43"/>
      <c r="Q71" s="43"/>
      <c r="R71" s="43"/>
      <c r="S71" s="43"/>
      <c r="T71" s="43"/>
      <c r="U71" s="43"/>
      <c r="V71" s="43"/>
    </row>
    <row r="72" spans="1:22" ht="1.5" hidden="1" customHeight="1" x14ac:dyDescent="0.25">
      <c r="A72" s="43"/>
      <c r="B72" s="55">
        <v>541</v>
      </c>
      <c r="C72" s="43">
        <v>352</v>
      </c>
      <c r="D72" s="43">
        <f t="shared" si="9"/>
        <v>189</v>
      </c>
      <c r="E72" s="56">
        <v>0.15</v>
      </c>
      <c r="F72" s="56">
        <v>0</v>
      </c>
      <c r="G72" s="43"/>
      <c r="H72" s="43"/>
      <c r="I72" s="43"/>
      <c r="J72" s="43"/>
      <c r="K72" s="43"/>
      <c r="L72" s="43"/>
      <c r="M72" s="43"/>
      <c r="N72" s="43"/>
      <c r="O72" s="43"/>
      <c r="P72" s="43"/>
      <c r="Q72" s="43"/>
      <c r="R72" s="43"/>
      <c r="S72" s="43"/>
      <c r="T72" s="43"/>
      <c r="U72" s="43"/>
      <c r="V72" s="43"/>
    </row>
    <row r="73" spans="1:22" ht="1.5" hidden="1" customHeight="1" x14ac:dyDescent="0.25">
      <c r="A73" s="43"/>
      <c r="B73" s="43"/>
      <c r="C73" s="43"/>
      <c r="D73" s="43"/>
      <c r="E73" s="43"/>
      <c r="F73" s="43"/>
      <c r="G73" s="43"/>
      <c r="H73" s="43"/>
      <c r="I73" s="43"/>
      <c r="J73" s="43"/>
      <c r="K73" s="43"/>
      <c r="L73" s="43"/>
      <c r="M73" s="43"/>
      <c r="N73" s="43"/>
      <c r="O73" s="43"/>
      <c r="P73" s="43"/>
      <c r="Q73" s="43"/>
      <c r="R73" s="43"/>
      <c r="S73" s="43"/>
      <c r="T73" s="43"/>
      <c r="U73" s="43"/>
      <c r="V73" s="43"/>
    </row>
    <row r="74" spans="1:22" ht="1.5" hidden="1" customHeight="1" x14ac:dyDescent="0.25">
      <c r="A74" s="43"/>
      <c r="B74" s="43"/>
      <c r="C74" s="47">
        <v>1</v>
      </c>
      <c r="D74" s="47">
        <v>2</v>
      </c>
      <c r="E74" s="47">
        <v>3</v>
      </c>
      <c r="F74" s="47">
        <v>4</v>
      </c>
      <c r="G74" s="47">
        <v>5</v>
      </c>
      <c r="H74" s="47">
        <v>6</v>
      </c>
      <c r="I74" s="47">
        <v>7</v>
      </c>
      <c r="J74" s="47">
        <v>8</v>
      </c>
      <c r="K74" s="47">
        <v>9</v>
      </c>
      <c r="L74" s="47">
        <v>10</v>
      </c>
      <c r="M74" s="47">
        <v>11</v>
      </c>
      <c r="N74" s="43"/>
      <c r="O74" s="43"/>
      <c r="P74" s="43"/>
      <c r="Q74" s="43"/>
      <c r="R74" s="43"/>
      <c r="S74" s="43"/>
      <c r="T74" s="43"/>
      <c r="U74" s="43"/>
      <c r="V74" s="43"/>
    </row>
    <row r="75" spans="1:22" ht="1.5" hidden="1" customHeight="1" x14ac:dyDescent="0.25">
      <c r="A75" s="43"/>
      <c r="B75" s="48" t="s">
        <v>20</v>
      </c>
      <c r="C75" s="52">
        <v>5.4411134903640255</v>
      </c>
      <c r="D75" s="52">
        <v>136.04440789473685</v>
      </c>
      <c r="E75" s="52">
        <v>136.19397993311037</v>
      </c>
      <c r="F75" s="52">
        <v>45.368715083798882</v>
      </c>
      <c r="G75" s="52">
        <v>45.397228637413392</v>
      </c>
      <c r="H75" s="52">
        <v>108.95467836257311</v>
      </c>
      <c r="I75" s="52">
        <v>190.56373937677054</v>
      </c>
      <c r="J75" s="52">
        <v>108.88987566607459</v>
      </c>
      <c r="K75" s="52">
        <v>163.24944320712694</v>
      </c>
      <c r="L75" s="52">
        <v>108.88527724665391</v>
      </c>
      <c r="M75" s="52">
        <v>145.18932874354562</v>
      </c>
      <c r="N75" s="43"/>
      <c r="O75" s="43"/>
      <c r="P75" s="43"/>
      <c r="Q75" s="43"/>
      <c r="R75" s="43"/>
      <c r="S75" s="43"/>
      <c r="T75" s="43"/>
      <c r="U75" s="43"/>
      <c r="V75" s="43"/>
    </row>
    <row r="76" spans="1:22" ht="1.5" hidden="1" customHeight="1" x14ac:dyDescent="0.25">
      <c r="A76" s="43"/>
      <c r="B76" s="48" t="s">
        <v>1</v>
      </c>
      <c r="C76" s="52">
        <v>5.4411134903640255</v>
      </c>
      <c r="D76" s="52">
        <v>90.69572368421052</v>
      </c>
      <c r="E76" s="52">
        <v>68.096989966555185</v>
      </c>
      <c r="F76" s="52">
        <v>27.221601489757916</v>
      </c>
      <c r="G76" s="52">
        <v>27.237875288683604</v>
      </c>
      <c r="H76" s="52">
        <v>72.635964912280699</v>
      </c>
      <c r="I76" s="52">
        <v>108.89376770538243</v>
      </c>
      <c r="J76" s="52">
        <v>68.056838365896979</v>
      </c>
      <c r="K76" s="52">
        <v>126.97104677060133</v>
      </c>
      <c r="L76" s="52">
        <v>95.273422562141491</v>
      </c>
      <c r="M76" s="52">
        <v>108.89156626506023</v>
      </c>
      <c r="N76" s="43"/>
      <c r="O76" s="43"/>
      <c r="P76" s="43"/>
      <c r="Q76" s="43"/>
      <c r="R76" s="43"/>
      <c r="S76" s="43"/>
      <c r="T76" s="43"/>
      <c r="U76" s="43"/>
      <c r="V76" s="43"/>
    </row>
    <row r="77" spans="1:22" ht="1.5" hidden="1" customHeight="1" x14ac:dyDescent="0.25">
      <c r="A77" s="43"/>
      <c r="B77" s="48" t="s">
        <v>21</v>
      </c>
      <c r="C77" s="52">
        <v>5.4411134903640255</v>
      </c>
      <c r="D77" s="52">
        <v>113.37006578947368</v>
      </c>
      <c r="E77" s="52">
        <v>113.49498327759197</v>
      </c>
      <c r="F77" s="52">
        <v>27.221601489757916</v>
      </c>
      <c r="G77" s="52">
        <v>36.317551963048501</v>
      </c>
      <c r="H77" s="52">
        <v>90.795321637426895</v>
      </c>
      <c r="I77" s="52">
        <v>163.33994334277619</v>
      </c>
      <c r="J77" s="52">
        <v>81.667850799289525</v>
      </c>
      <c r="K77" s="52">
        <v>145.11135857461022</v>
      </c>
      <c r="L77" s="52">
        <v>95.273422562141491</v>
      </c>
      <c r="M77" s="52">
        <v>127.04130808950086</v>
      </c>
      <c r="N77" s="43"/>
      <c r="O77" s="43"/>
      <c r="P77" s="43"/>
      <c r="Q77" s="43"/>
      <c r="R77" s="43"/>
      <c r="S77" s="43"/>
      <c r="T77" s="43"/>
      <c r="U77" s="43"/>
      <c r="V77" s="43"/>
    </row>
    <row r="78" spans="1:22" ht="1.5" hidden="1" customHeight="1" x14ac:dyDescent="0.25">
      <c r="A78" s="43"/>
      <c r="B78" s="48" t="s">
        <v>22</v>
      </c>
      <c r="C78" s="52">
        <v>27.211155378486055</v>
      </c>
      <c r="D78" s="60">
        <v>95.28679817905919</v>
      </c>
      <c r="E78" s="60">
        <v>95.283891547049436</v>
      </c>
      <c r="F78" s="60">
        <v>36.317901234567898</v>
      </c>
      <c r="G78" s="60">
        <v>95.303153611393697</v>
      </c>
      <c r="H78" s="60">
        <v>95.262893081761007</v>
      </c>
      <c r="I78" s="60">
        <v>95.232432432432432</v>
      </c>
      <c r="J78" s="60">
        <v>245.14918032786886</v>
      </c>
      <c r="K78" s="60">
        <v>204.29006085192697</v>
      </c>
      <c r="L78" s="60">
        <v>163.43258426966293</v>
      </c>
      <c r="M78" s="60">
        <v>245.01335559265442</v>
      </c>
      <c r="N78" s="43"/>
      <c r="O78" s="43"/>
      <c r="P78" s="43"/>
      <c r="Q78" s="43"/>
      <c r="R78" s="43"/>
      <c r="S78" s="43"/>
      <c r="T78" s="43"/>
      <c r="U78" s="43"/>
      <c r="V78" s="43"/>
    </row>
    <row r="79" spans="1:22" ht="1.5" hidden="1" customHeight="1" x14ac:dyDescent="0.25">
      <c r="A79" s="43"/>
      <c r="B79" s="48" t="s">
        <v>23</v>
      </c>
      <c r="C79" s="52">
        <v>5.4453781512605044</v>
      </c>
      <c r="D79" s="52">
        <v>68.095652173913038</v>
      </c>
      <c r="E79" s="52">
        <v>68.095528455284551</v>
      </c>
      <c r="F79" s="52">
        <v>18.150121065375302</v>
      </c>
      <c r="G79" s="52">
        <v>40.858299595141702</v>
      </c>
      <c r="H79" s="52">
        <v>78.049429657794676</v>
      </c>
      <c r="I79" s="52">
        <v>81.621414913957935</v>
      </c>
      <c r="J79" s="52">
        <v>163.43155893536121</v>
      </c>
      <c r="K79" s="52">
        <v>204.28954423592492</v>
      </c>
      <c r="L79" s="52">
        <v>107.90731707317073</v>
      </c>
      <c r="M79" s="52">
        <v>163.21255060728745</v>
      </c>
      <c r="N79" s="43"/>
      <c r="O79" s="43"/>
      <c r="P79" s="43"/>
      <c r="Q79" s="43"/>
      <c r="R79" s="43"/>
      <c r="S79" s="43"/>
      <c r="T79" s="43"/>
      <c r="U79" s="43"/>
      <c r="V79" s="43"/>
    </row>
    <row r="80" spans="1:22" ht="1.5" hidden="1" customHeight="1" x14ac:dyDescent="0.25">
      <c r="A80" s="43"/>
      <c r="B80" s="48" t="s">
        <v>24</v>
      </c>
      <c r="C80" s="52">
        <v>16.34173669467787</v>
      </c>
      <c r="D80" s="52">
        <v>81.71521739130435</v>
      </c>
      <c r="E80" s="52">
        <v>81.715447154471548</v>
      </c>
      <c r="F80" s="52">
        <v>27.225181598062953</v>
      </c>
      <c r="G80" s="52">
        <v>68.097165991902827</v>
      </c>
      <c r="H80" s="52">
        <v>91.057034220532316</v>
      </c>
      <c r="I80" s="52">
        <v>95.225621414913959</v>
      </c>
      <c r="J80" s="52">
        <v>190.67110266159696</v>
      </c>
      <c r="K80" s="52">
        <v>204.28954423592492</v>
      </c>
      <c r="L80" s="52">
        <v>145.03658536585365</v>
      </c>
      <c r="M80" s="52">
        <v>190.41295546558703</v>
      </c>
      <c r="N80" s="43"/>
      <c r="O80" s="43"/>
      <c r="P80" s="43"/>
      <c r="Q80" s="43"/>
      <c r="R80" s="43"/>
      <c r="S80" s="43"/>
      <c r="T80" s="43"/>
      <c r="U80" s="43"/>
      <c r="V80" s="43"/>
    </row>
    <row r="81" spans="1:22" ht="1.5" hidden="1" customHeight="1" x14ac:dyDescent="0.25">
      <c r="A81" s="43"/>
      <c r="B81" s="48" t="s">
        <v>25</v>
      </c>
      <c r="C81" s="52">
        <v>5.4472361809045227</v>
      </c>
      <c r="D81" s="52">
        <v>81.587264150943398</v>
      </c>
      <c r="E81" s="52">
        <v>81.714611872146122</v>
      </c>
      <c r="F81" s="52">
        <v>90.795454545454547</v>
      </c>
      <c r="G81" s="52">
        <v>108.95522388059702</v>
      </c>
      <c r="H81" s="52">
        <v>108.8780487804878</v>
      </c>
      <c r="I81" s="52">
        <v>108.92101105845181</v>
      </c>
      <c r="J81" s="52">
        <v>108.95427435387674</v>
      </c>
      <c r="K81" s="52">
        <v>163.22077922077921</v>
      </c>
      <c r="L81" s="52">
        <v>190.3197424892704</v>
      </c>
      <c r="M81" s="52">
        <v>145.07795698924733</v>
      </c>
      <c r="N81" s="43"/>
      <c r="O81" s="43"/>
      <c r="P81" s="43"/>
      <c r="Q81" s="43"/>
      <c r="R81" s="43"/>
      <c r="S81" s="43"/>
      <c r="T81" s="43"/>
      <c r="U81" s="43"/>
      <c r="V81" s="43"/>
    </row>
    <row r="82" spans="1:22" ht="1.5" hidden="1" customHeight="1" x14ac:dyDescent="0.25">
      <c r="A82" s="43"/>
      <c r="B82" s="48" t="s">
        <v>26</v>
      </c>
      <c r="C82" s="52">
        <v>5.4472361809045227</v>
      </c>
      <c r="D82" s="52">
        <v>40.79245283018868</v>
      </c>
      <c r="E82" s="52">
        <v>40.856164383561641</v>
      </c>
      <c r="F82" s="52">
        <v>36.31818181818182</v>
      </c>
      <c r="G82" s="52">
        <v>72.636815920398007</v>
      </c>
      <c r="H82" s="52">
        <v>72.58536585365853</v>
      </c>
      <c r="I82" s="52">
        <v>68.074249605055286</v>
      </c>
      <c r="J82" s="52">
        <v>68.095427435387677</v>
      </c>
      <c r="K82" s="52">
        <v>126.94805194805195</v>
      </c>
      <c r="L82" s="52">
        <v>135.94206008583691</v>
      </c>
      <c r="M82" s="52">
        <v>126.94354838709677</v>
      </c>
      <c r="N82" s="43"/>
      <c r="O82" s="43"/>
      <c r="P82" s="43"/>
      <c r="Q82" s="43"/>
      <c r="R82" s="43"/>
      <c r="S82" s="43"/>
      <c r="T82" s="43"/>
      <c r="U82" s="43"/>
      <c r="V82" s="43"/>
    </row>
    <row r="83" spans="1:22" ht="1.5" hidden="1" customHeight="1" x14ac:dyDescent="0.25">
      <c r="A83" s="43"/>
      <c r="B83" s="48" t="s">
        <v>27</v>
      </c>
      <c r="C83" s="60">
        <v>5.4475138121546962</v>
      </c>
      <c r="D83" s="60">
        <v>54.443413729128018</v>
      </c>
      <c r="E83" s="60">
        <v>54.441351888667988</v>
      </c>
      <c r="F83" s="60">
        <v>54.476190476190474</v>
      </c>
      <c r="G83" s="52">
        <v>90.795148247978432</v>
      </c>
      <c r="H83" s="52">
        <v>90.701208981001727</v>
      </c>
      <c r="I83" s="52">
        <v>81.71641791044776</v>
      </c>
      <c r="J83" s="52">
        <v>81.590384615384622</v>
      </c>
      <c r="K83" s="52">
        <v>163.4319526627219</v>
      </c>
      <c r="L83" s="52">
        <v>190.27536231884059</v>
      </c>
      <c r="M83" s="52">
        <v>126.944</v>
      </c>
      <c r="N83" s="43"/>
      <c r="O83" s="43"/>
      <c r="P83" s="43"/>
      <c r="Q83" s="43"/>
      <c r="R83" s="43"/>
      <c r="S83" s="43"/>
      <c r="T83" s="43"/>
      <c r="U83" s="43"/>
      <c r="V83" s="43"/>
    </row>
    <row r="84" spans="1:22" ht="1.5" hidden="1" customHeight="1" x14ac:dyDescent="0.25">
      <c r="A84" s="43"/>
      <c r="B84" s="48" t="s">
        <v>28</v>
      </c>
      <c r="C84" s="60">
        <v>5.4475138121546962</v>
      </c>
      <c r="D84" s="60">
        <v>40.833024118738408</v>
      </c>
      <c r="E84" s="60">
        <v>40.802788844621517</v>
      </c>
      <c r="F84" s="60">
        <v>72.50797872340425</v>
      </c>
      <c r="G84" s="52">
        <v>72.636118598382751</v>
      </c>
      <c r="H84" s="52">
        <v>90.701208981001727</v>
      </c>
      <c r="I84" s="52">
        <v>108.95522388059702</v>
      </c>
      <c r="J84" s="52">
        <v>95.188461538461539</v>
      </c>
      <c r="K84" s="52">
        <v>224.7189349112426</v>
      </c>
      <c r="L84" s="52">
        <v>144.9710144927536</v>
      </c>
      <c r="M84" s="52">
        <v>95.207999999999998</v>
      </c>
      <c r="N84" s="43"/>
      <c r="O84" s="43"/>
      <c r="P84" s="43"/>
      <c r="Q84" s="43"/>
      <c r="R84" s="43"/>
      <c r="S84" s="43"/>
      <c r="T84" s="43"/>
      <c r="U84" s="43"/>
      <c r="V84" s="43"/>
    </row>
    <row r="85" spans="1:22" ht="1.5" hidden="1" customHeight="1" x14ac:dyDescent="0.25">
      <c r="A85" s="43"/>
      <c r="B85" s="48" t="s">
        <v>29</v>
      </c>
      <c r="C85" s="52">
        <v>5.4463519313304722</v>
      </c>
      <c r="D85" s="52">
        <v>27.209265175718851</v>
      </c>
      <c r="E85" s="52">
        <v>27.223316912972084</v>
      </c>
      <c r="F85" s="52">
        <v>18.157986111111111</v>
      </c>
      <c r="G85" s="52">
        <v>18.158932714617169</v>
      </c>
      <c r="H85" s="52">
        <v>45.372549019607838</v>
      </c>
      <c r="I85" s="52">
        <v>72.550295857988161</v>
      </c>
      <c r="J85" s="52">
        <v>68.095914742451157</v>
      </c>
      <c r="K85" s="52">
        <v>158.70725995316158</v>
      </c>
      <c r="L85" s="52">
        <v>72.63636363636364</v>
      </c>
      <c r="M85" s="52">
        <v>81.715909090909093</v>
      </c>
      <c r="N85" s="43"/>
      <c r="O85" s="43"/>
      <c r="P85" s="43"/>
      <c r="Q85" s="43"/>
      <c r="R85" s="43"/>
      <c r="S85" s="43"/>
      <c r="T85" s="43"/>
      <c r="U85" s="43"/>
      <c r="V85" s="43"/>
    </row>
    <row r="86" spans="1:22" ht="1.5" hidden="1" customHeight="1" x14ac:dyDescent="0.25">
      <c r="A86" s="43"/>
      <c r="B86" s="48" t="s">
        <v>30</v>
      </c>
      <c r="C86" s="52">
        <v>5.4463519313304722</v>
      </c>
      <c r="D86" s="60">
        <v>40.814696485623003</v>
      </c>
      <c r="E86" s="60">
        <v>40.835796387520524</v>
      </c>
      <c r="F86" s="60">
        <v>36.317708333333336</v>
      </c>
      <c r="G86" s="60">
        <v>36.317865429234338</v>
      </c>
      <c r="H86" s="60">
        <v>68.058823529411768</v>
      </c>
      <c r="I86" s="60">
        <v>90.687869822485197</v>
      </c>
      <c r="J86" s="60">
        <v>81.714031971580823</v>
      </c>
      <c r="K86" s="60">
        <v>181.37939110070258</v>
      </c>
      <c r="L86" s="60">
        <v>127.11363636363636</v>
      </c>
      <c r="M86" s="60">
        <v>95.334090909090904</v>
      </c>
      <c r="N86" s="43"/>
      <c r="O86" s="43"/>
      <c r="P86" s="43"/>
      <c r="Q86" s="43"/>
      <c r="R86" s="43"/>
      <c r="S86" s="43"/>
      <c r="T86" s="43"/>
      <c r="U86" s="43"/>
      <c r="V86" s="43"/>
    </row>
    <row r="87" spans="1:22" ht="1.5" hidden="1" customHeight="1" x14ac:dyDescent="0.25">
      <c r="A87" s="43"/>
      <c r="B87" s="47"/>
      <c r="C87" s="47">
        <v>1</v>
      </c>
      <c r="D87" s="47">
        <v>2</v>
      </c>
      <c r="E87" s="47">
        <v>3</v>
      </c>
      <c r="F87" s="47">
        <v>4</v>
      </c>
      <c r="G87" s="47">
        <v>5</v>
      </c>
      <c r="H87" s="47">
        <v>6</v>
      </c>
      <c r="I87" s="47">
        <v>7</v>
      </c>
      <c r="J87" s="47">
        <v>8</v>
      </c>
      <c r="K87" s="47">
        <v>9</v>
      </c>
      <c r="L87" s="47">
        <v>10</v>
      </c>
      <c r="M87" s="47">
        <v>11</v>
      </c>
      <c r="N87" s="43"/>
      <c r="O87" s="43"/>
      <c r="P87" s="43"/>
      <c r="Q87" s="43"/>
      <c r="R87" s="43"/>
      <c r="S87" s="43"/>
      <c r="T87" s="43"/>
      <c r="U87" s="43"/>
      <c r="V87" s="43"/>
    </row>
    <row r="88" spans="1:22" ht="1.5" hidden="1" customHeight="1" x14ac:dyDescent="0.25">
      <c r="A88" s="45"/>
      <c r="B88" s="48" t="s">
        <v>20</v>
      </c>
      <c r="C88" s="52">
        <v>266.65310492505353</v>
      </c>
      <c r="D88" s="52">
        <v>90.69572368421052</v>
      </c>
      <c r="E88" s="52">
        <v>90.795986622073585</v>
      </c>
      <c r="F88" s="52">
        <v>45.368715083798882</v>
      </c>
      <c r="G88" s="52">
        <v>45.397228637413392</v>
      </c>
      <c r="H88" s="52">
        <v>72.635964912280699</v>
      </c>
      <c r="I88" s="52">
        <v>81.669971671388097</v>
      </c>
      <c r="J88" s="52">
        <v>27.22202486678508</v>
      </c>
      <c r="K88" s="52">
        <v>18.138084632516705</v>
      </c>
      <c r="L88" s="52">
        <v>27.219885277246657</v>
      </c>
      <c r="M88" s="52">
        <v>36.296041308089499</v>
      </c>
      <c r="N88" s="45"/>
      <c r="O88" s="45"/>
      <c r="P88" s="45"/>
      <c r="Q88" s="45"/>
      <c r="R88" s="45"/>
      <c r="S88" s="45"/>
      <c r="T88" s="45"/>
      <c r="U88" s="45"/>
      <c r="V88" s="45"/>
    </row>
    <row r="89" spans="1:22" ht="1.5" hidden="1" customHeight="1" x14ac:dyDescent="0.25">
      <c r="A89" s="45"/>
      <c r="B89" s="48" t="s">
        <v>1</v>
      </c>
      <c r="C89" s="52">
        <v>266.65310492505353</v>
      </c>
      <c r="D89" s="52">
        <v>136.04440789473685</v>
      </c>
      <c r="E89" s="52">
        <v>158.89297658862876</v>
      </c>
      <c r="F89" s="52">
        <v>63.517690875232773</v>
      </c>
      <c r="G89" s="52">
        <v>63.556581986143186</v>
      </c>
      <c r="H89" s="52">
        <v>108.95467836257311</v>
      </c>
      <c r="I89" s="52">
        <v>163.33994334277619</v>
      </c>
      <c r="J89" s="52">
        <v>68.056838365896979</v>
      </c>
      <c r="K89" s="52">
        <v>54.41648106904232</v>
      </c>
      <c r="L89" s="52">
        <v>40.831739961759084</v>
      </c>
      <c r="M89" s="52">
        <v>72.593803786574867</v>
      </c>
      <c r="N89" s="45"/>
      <c r="O89" s="45"/>
      <c r="P89" s="45"/>
      <c r="Q89" s="45"/>
      <c r="R89" s="45"/>
      <c r="S89" s="45"/>
      <c r="T89" s="45"/>
      <c r="U89" s="45"/>
      <c r="V89" s="45"/>
    </row>
    <row r="90" spans="1:22" ht="1.5" hidden="1" customHeight="1" x14ac:dyDescent="0.25">
      <c r="A90" s="45"/>
      <c r="B90" s="48" t="s">
        <v>21</v>
      </c>
      <c r="C90" s="52">
        <v>266.65310492505353</v>
      </c>
      <c r="D90" s="52">
        <v>113.37006578947368</v>
      </c>
      <c r="E90" s="52">
        <v>113.49498327759197</v>
      </c>
      <c r="F90" s="52">
        <v>63.517690875232773</v>
      </c>
      <c r="G90" s="52">
        <v>54.476905311778289</v>
      </c>
      <c r="H90" s="52">
        <v>90.795321637426895</v>
      </c>
      <c r="I90" s="52">
        <v>108.89376770538243</v>
      </c>
      <c r="J90" s="52">
        <v>54.444049733570161</v>
      </c>
      <c r="K90" s="52">
        <v>36.27616926503341</v>
      </c>
      <c r="L90" s="52">
        <v>40.831739961759084</v>
      </c>
      <c r="M90" s="52">
        <v>54.445783132530117</v>
      </c>
      <c r="N90" s="45"/>
      <c r="O90" s="45"/>
      <c r="P90" s="45"/>
      <c r="Q90" s="45"/>
      <c r="R90" s="45"/>
      <c r="S90" s="45"/>
      <c r="T90" s="45"/>
      <c r="U90" s="45"/>
      <c r="V90" s="45"/>
    </row>
    <row r="91" spans="1:22" ht="1.5" hidden="1" customHeight="1" x14ac:dyDescent="0.25">
      <c r="A91" s="45"/>
      <c r="B91" s="48" t="s">
        <v>22</v>
      </c>
      <c r="C91" s="60">
        <v>244.90438247011951</v>
      </c>
      <c r="D91" s="60">
        <v>40.837632776934747</v>
      </c>
      <c r="E91" s="60">
        <v>40.835725677830943</v>
      </c>
      <c r="F91" s="60">
        <v>54.476851851851855</v>
      </c>
      <c r="G91" s="60">
        <v>40.844354018311293</v>
      </c>
      <c r="H91" s="60">
        <v>40.826415094339623</v>
      </c>
      <c r="I91" s="60">
        <v>40.813513513513513</v>
      </c>
      <c r="J91" s="60">
        <v>27.237704918032787</v>
      </c>
      <c r="K91" s="60">
        <v>22.697768762677484</v>
      </c>
      <c r="L91" s="60">
        <v>18.159176029962548</v>
      </c>
      <c r="M91" s="60">
        <v>27.223706176961603</v>
      </c>
      <c r="N91" s="45"/>
      <c r="O91" s="45"/>
      <c r="P91" s="45"/>
      <c r="Q91" s="45"/>
      <c r="R91" s="45"/>
      <c r="S91" s="45"/>
      <c r="T91" s="45"/>
      <c r="U91" s="45"/>
      <c r="V91" s="45"/>
    </row>
    <row r="92" spans="1:22" ht="1.5" hidden="1" customHeight="1" x14ac:dyDescent="0.25">
      <c r="A92" s="45"/>
      <c r="B92" s="48" t="s">
        <v>23</v>
      </c>
      <c r="C92" s="52">
        <v>266.93837535014006</v>
      </c>
      <c r="D92" s="52">
        <v>68.095652173913038</v>
      </c>
      <c r="E92" s="52">
        <v>68.095528455284551</v>
      </c>
      <c r="F92" s="52">
        <v>72.600484261501208</v>
      </c>
      <c r="G92" s="52">
        <v>95.336032388663966</v>
      </c>
      <c r="H92" s="52">
        <v>52.032319391634978</v>
      </c>
      <c r="I92" s="52">
        <v>54.414913957934985</v>
      </c>
      <c r="J92" s="52">
        <v>108.95437262357414</v>
      </c>
      <c r="K92" s="52">
        <v>22.697050938337803</v>
      </c>
      <c r="L92" s="52">
        <v>71.936585365853659</v>
      </c>
      <c r="M92" s="52">
        <v>108.80769230769231</v>
      </c>
      <c r="N92" s="45"/>
      <c r="O92" s="45"/>
      <c r="P92" s="45"/>
      <c r="Q92" s="45"/>
      <c r="R92" s="45"/>
      <c r="S92" s="45"/>
      <c r="T92" s="45"/>
      <c r="U92" s="45"/>
      <c r="V92" s="45"/>
    </row>
    <row r="93" spans="1:22" ht="1.5" hidden="1" customHeight="1" x14ac:dyDescent="0.25">
      <c r="A93" s="45"/>
      <c r="B93" s="48" t="s">
        <v>24</v>
      </c>
      <c r="C93" s="52">
        <v>256.04481792717087</v>
      </c>
      <c r="D93" s="52">
        <v>54.47608695652174</v>
      </c>
      <c r="E93" s="52">
        <v>54.477642276422756</v>
      </c>
      <c r="F93" s="52">
        <v>63.525423728813557</v>
      </c>
      <c r="G93" s="52">
        <v>68.097165991902827</v>
      </c>
      <c r="H93" s="52">
        <v>39.024714828897338</v>
      </c>
      <c r="I93" s="52">
        <v>40.810707456978967</v>
      </c>
      <c r="J93" s="52">
        <v>81.714828897338407</v>
      </c>
      <c r="K93" s="52">
        <v>22.697050938337803</v>
      </c>
      <c r="L93" s="52">
        <v>36.258536585365853</v>
      </c>
      <c r="M93" s="52">
        <v>81.60526315789474</v>
      </c>
      <c r="N93" s="45"/>
      <c r="O93" s="45"/>
      <c r="P93" s="45"/>
      <c r="Q93" s="45"/>
      <c r="R93" s="45"/>
      <c r="S93" s="45"/>
      <c r="T93" s="45"/>
      <c r="U93" s="45"/>
      <c r="V93" s="45"/>
    </row>
    <row r="94" spans="1:22" ht="1.5" hidden="1" customHeight="1" x14ac:dyDescent="0.25">
      <c r="A94" s="45"/>
      <c r="B94" s="48" t="s">
        <v>25</v>
      </c>
      <c r="C94" s="52">
        <v>266.9396984924623</v>
      </c>
      <c r="D94" s="52">
        <v>54.391509433962263</v>
      </c>
      <c r="E94" s="52">
        <v>54.477168949771688</v>
      </c>
      <c r="F94" s="52">
        <v>90.795454545454547</v>
      </c>
      <c r="G94" s="52">
        <v>72.636815920398007</v>
      </c>
      <c r="H94" s="52">
        <v>72.58536585365853</v>
      </c>
      <c r="I94" s="52">
        <v>27.22906793048973</v>
      </c>
      <c r="J94" s="52">
        <v>27.238568588469185</v>
      </c>
      <c r="K94" s="52">
        <v>18.135064935064932</v>
      </c>
      <c r="L94" s="52">
        <v>81.564377682403432</v>
      </c>
      <c r="M94" s="52">
        <v>36.268817204301072</v>
      </c>
      <c r="N94" s="45"/>
      <c r="O94" s="45"/>
      <c r="P94" s="45"/>
      <c r="Q94" s="45"/>
      <c r="R94" s="45"/>
      <c r="S94" s="45"/>
      <c r="T94" s="45"/>
      <c r="U94" s="45"/>
      <c r="V94" s="45"/>
    </row>
    <row r="95" spans="1:22" ht="1.5" hidden="1" customHeight="1" x14ac:dyDescent="0.25">
      <c r="A95" s="45"/>
      <c r="B95" s="48" t="s">
        <v>26</v>
      </c>
      <c r="C95" s="52">
        <v>266.9396984924623</v>
      </c>
      <c r="D95" s="52">
        <v>95.183962264150949</v>
      </c>
      <c r="E95" s="52">
        <v>95.335616438356169</v>
      </c>
      <c r="F95" s="52">
        <v>145.27272727272728</v>
      </c>
      <c r="G95" s="52">
        <v>108.95522388059702</v>
      </c>
      <c r="H95" s="52">
        <v>108.8780487804878</v>
      </c>
      <c r="I95" s="52">
        <v>68.074249605055286</v>
      </c>
      <c r="J95" s="52">
        <v>68.095427435387677</v>
      </c>
      <c r="K95" s="52">
        <v>54.405194805194803</v>
      </c>
      <c r="L95" s="52">
        <v>135.94206008583691</v>
      </c>
      <c r="M95" s="52">
        <v>54.403225806451616</v>
      </c>
      <c r="N95" s="45"/>
      <c r="O95" s="45"/>
      <c r="P95" s="45"/>
      <c r="Q95" s="45"/>
      <c r="R95" s="45"/>
      <c r="S95" s="45"/>
      <c r="T95" s="45"/>
      <c r="U95" s="45"/>
      <c r="V95" s="45"/>
    </row>
    <row r="96" spans="1:22" ht="1.5" hidden="1" customHeight="1" x14ac:dyDescent="0.25">
      <c r="A96" s="45"/>
      <c r="B96" s="48" t="s">
        <v>27</v>
      </c>
      <c r="C96" s="52">
        <v>266.93922651933701</v>
      </c>
      <c r="D96" s="52">
        <v>81.666048237476815</v>
      </c>
      <c r="E96" s="52">
        <v>81.662027833001986</v>
      </c>
      <c r="F96" s="52">
        <v>127.11428571428571</v>
      </c>
      <c r="G96" s="52">
        <v>90.795148247978432</v>
      </c>
      <c r="H96" s="52">
        <v>90.701208981001727</v>
      </c>
      <c r="I96" s="52">
        <v>54.477611940298509</v>
      </c>
      <c r="J96" s="52">
        <v>54.392307692307682</v>
      </c>
      <c r="K96" s="52">
        <v>18.15680473372781</v>
      </c>
      <c r="L96" s="52">
        <v>81.54589371980677</v>
      </c>
      <c r="M96" s="52">
        <v>54.402666666666669</v>
      </c>
      <c r="N96" s="45"/>
      <c r="O96" s="45"/>
      <c r="P96" s="45"/>
      <c r="Q96" s="45"/>
      <c r="R96" s="45"/>
      <c r="S96" s="45"/>
      <c r="T96" s="45"/>
      <c r="U96" s="45"/>
      <c r="V96" s="45"/>
    </row>
    <row r="97" spans="1:22" ht="1.5" hidden="1" customHeight="1" x14ac:dyDescent="0.25">
      <c r="A97" s="45"/>
      <c r="B97" s="48" t="s">
        <v>28</v>
      </c>
      <c r="C97" s="52">
        <v>266.93922651933701</v>
      </c>
      <c r="D97" s="52">
        <v>95.276437847866418</v>
      </c>
      <c r="E97" s="52">
        <v>95.209163346613551</v>
      </c>
      <c r="F97" s="52">
        <v>108.76063829787235</v>
      </c>
      <c r="G97" s="52">
        <v>108.95417789757413</v>
      </c>
      <c r="H97" s="52">
        <v>136.05181347150258</v>
      </c>
      <c r="I97" s="52">
        <v>72.636194029850742</v>
      </c>
      <c r="J97" s="52">
        <v>40.794230769230772</v>
      </c>
      <c r="K97" s="52">
        <v>2.2692307692307692</v>
      </c>
      <c r="L97" s="52">
        <v>36.24154589371981</v>
      </c>
      <c r="M97" s="52">
        <v>40.802666666666667</v>
      </c>
      <c r="N97" s="45"/>
      <c r="O97" s="45"/>
      <c r="P97" s="45"/>
      <c r="Q97" s="45"/>
      <c r="R97" s="45"/>
      <c r="S97" s="45"/>
      <c r="T97" s="45"/>
      <c r="U97" s="45"/>
      <c r="V97" s="45"/>
    </row>
    <row r="98" spans="1:22" ht="1.5" hidden="1" customHeight="1" x14ac:dyDescent="0.25">
      <c r="A98" s="45"/>
      <c r="B98" s="48" t="s">
        <v>29</v>
      </c>
      <c r="C98" s="52">
        <v>266.93991416309012</v>
      </c>
      <c r="D98" s="52">
        <v>108.83865814696486</v>
      </c>
      <c r="E98" s="52">
        <v>108.89490968801313</v>
      </c>
      <c r="F98" s="52">
        <v>163.43229166666666</v>
      </c>
      <c r="G98" s="52">
        <v>163.43271461716938</v>
      </c>
      <c r="H98" s="52">
        <v>181.49019607843135</v>
      </c>
      <c r="I98" s="52">
        <v>108.82544378698225</v>
      </c>
      <c r="J98" s="52">
        <v>68.095914742451157</v>
      </c>
      <c r="K98" s="52">
        <v>68.016393442622956</v>
      </c>
      <c r="L98" s="52">
        <v>108.95454545454545</v>
      </c>
      <c r="M98" s="52">
        <v>54.477272727272727</v>
      </c>
      <c r="N98" s="45"/>
      <c r="O98" s="45"/>
      <c r="P98" s="45"/>
      <c r="Q98" s="45"/>
      <c r="R98" s="45"/>
      <c r="S98" s="45"/>
      <c r="T98" s="45"/>
      <c r="U98" s="45"/>
      <c r="V98" s="45"/>
    </row>
    <row r="99" spans="1:22" ht="1.5" hidden="1" customHeight="1" x14ac:dyDescent="0.25">
      <c r="A99" s="45"/>
      <c r="B99" s="48" t="s">
        <v>30</v>
      </c>
      <c r="C99" s="60">
        <v>266.93991416309012</v>
      </c>
      <c r="D99" s="60">
        <v>95.233226837060698</v>
      </c>
      <c r="E99" s="60">
        <v>95.282430213464693</v>
      </c>
      <c r="F99" s="60">
        <v>145.27256944444446</v>
      </c>
      <c r="G99" s="60">
        <v>145.2737819025522</v>
      </c>
      <c r="H99" s="60">
        <v>158.80392156862743</v>
      </c>
      <c r="I99" s="60">
        <v>90.687869822485197</v>
      </c>
      <c r="J99" s="60">
        <v>54.476021314387211</v>
      </c>
      <c r="K99" s="60">
        <v>45.344262295081968</v>
      </c>
      <c r="L99" s="60">
        <v>54.477272727272727</v>
      </c>
      <c r="M99" s="60">
        <v>40.856818181818184</v>
      </c>
      <c r="N99" s="45"/>
      <c r="O99" s="45"/>
      <c r="P99" s="45"/>
      <c r="Q99" s="45"/>
      <c r="R99" s="45"/>
      <c r="S99" s="45"/>
      <c r="T99" s="45"/>
      <c r="U99" s="45"/>
      <c r="V99" s="45"/>
    </row>
    <row r="100" spans="1:22" ht="1.5" hidden="1" customHeight="1" x14ac:dyDescent="0.25">
      <c r="A100" s="45"/>
      <c r="B100" s="45"/>
      <c r="C100" s="45"/>
      <c r="D100" s="45"/>
      <c r="E100" s="45"/>
      <c r="F100" s="45"/>
      <c r="G100" s="45"/>
      <c r="H100" s="45"/>
      <c r="I100" s="45"/>
      <c r="J100" s="45"/>
      <c r="K100" s="45"/>
      <c r="L100" s="45"/>
      <c r="M100" s="45"/>
      <c r="N100" s="45"/>
      <c r="O100" s="45"/>
      <c r="P100" s="45"/>
      <c r="Q100" s="45"/>
      <c r="R100" s="45"/>
      <c r="S100" s="45"/>
      <c r="T100" s="45"/>
      <c r="U100" s="45"/>
      <c r="V100" s="45"/>
    </row>
    <row r="101" spans="1:22" hidden="1" x14ac:dyDescent="0.25"/>
  </sheetData>
  <sheetProtection password="D870" sheet="1" objects="1" scenarios="1"/>
  <mergeCells count="51">
    <mergeCell ref="J62:K62"/>
    <mergeCell ref="L62:M62"/>
    <mergeCell ref="N62:O62"/>
    <mergeCell ref="P62:Q62"/>
    <mergeCell ref="A49:B49"/>
    <mergeCell ref="C49:D49"/>
    <mergeCell ref="E49:F49"/>
    <mergeCell ref="A50:B50"/>
    <mergeCell ref="C51:F51"/>
    <mergeCell ref="H62:I62"/>
    <mergeCell ref="C46:D46"/>
    <mergeCell ref="E46:F46"/>
    <mergeCell ref="C47:D47"/>
    <mergeCell ref="E47:F47"/>
    <mergeCell ref="C48:D48"/>
    <mergeCell ref="E48:F48"/>
    <mergeCell ref="A42:B42"/>
    <mergeCell ref="A43:B43"/>
    <mergeCell ref="C44:D44"/>
    <mergeCell ref="E44:F44"/>
    <mergeCell ref="C45:D45"/>
    <mergeCell ref="E45:F45"/>
    <mergeCell ref="A26:I27"/>
    <mergeCell ref="B28:D28"/>
    <mergeCell ref="E28:G28"/>
    <mergeCell ref="I28:P29"/>
    <mergeCell ref="B29:D29"/>
    <mergeCell ref="E29:G29"/>
    <mergeCell ref="E18:F18"/>
    <mergeCell ref="E19:F19"/>
    <mergeCell ref="E20:F20"/>
    <mergeCell ref="E21:F21"/>
    <mergeCell ref="E22:F22"/>
    <mergeCell ref="A23:B23"/>
    <mergeCell ref="E23:F23"/>
    <mergeCell ref="A1:I1"/>
    <mergeCell ref="B2:D2"/>
    <mergeCell ref="E2:G2"/>
    <mergeCell ref="I2:P3"/>
    <mergeCell ref="E3:G3"/>
    <mergeCell ref="C21:D21"/>
    <mergeCell ref="C22:D22"/>
    <mergeCell ref="C23:D23"/>
    <mergeCell ref="A24:B24"/>
    <mergeCell ref="C25:F25"/>
    <mergeCell ref="B3:D3"/>
    <mergeCell ref="A17:B17"/>
    <mergeCell ref="C19:D19"/>
    <mergeCell ref="C20:D20"/>
    <mergeCell ref="A16:B16"/>
    <mergeCell ref="C18:D18"/>
  </mergeCells>
  <conditionalFormatting sqref="B5 G5">
    <cfRule type="iconSet" priority="22">
      <iconSet iconSet="3Arrows">
        <cfvo type="percent" val="0"/>
        <cfvo type="percent" val="33"/>
        <cfvo type="percent" val="67"/>
      </iconSet>
    </cfRule>
  </conditionalFormatting>
  <conditionalFormatting sqref="B6 G6">
    <cfRule type="iconSet" priority="21">
      <iconSet iconSet="3Arrows">
        <cfvo type="percent" val="0"/>
        <cfvo type="percent" val="33"/>
        <cfvo type="percent" val="67"/>
      </iconSet>
    </cfRule>
  </conditionalFormatting>
  <conditionalFormatting sqref="B7 G7">
    <cfRule type="iconSet" priority="20">
      <iconSet iconSet="3Arrows">
        <cfvo type="percent" val="0"/>
        <cfvo type="percent" val="33"/>
        <cfvo type="percent" val="67"/>
      </iconSet>
    </cfRule>
  </conditionalFormatting>
  <conditionalFormatting sqref="B8 G8">
    <cfRule type="iconSet" priority="19">
      <iconSet iconSet="3Arrows">
        <cfvo type="percent" val="0"/>
        <cfvo type="percent" val="33"/>
        <cfvo type="percent" val="67"/>
      </iconSet>
    </cfRule>
  </conditionalFormatting>
  <conditionalFormatting sqref="B9 G9">
    <cfRule type="iconSet" priority="18">
      <iconSet iconSet="3Arrows">
        <cfvo type="percent" val="0"/>
        <cfvo type="percent" val="33"/>
        <cfvo type="percent" val="67"/>
      </iconSet>
    </cfRule>
  </conditionalFormatting>
  <conditionalFormatting sqref="B10 G10">
    <cfRule type="iconSet" priority="17">
      <iconSet iconSet="3Arrows">
        <cfvo type="percent" val="0"/>
        <cfvo type="percent" val="33"/>
        <cfvo type="percent" val="67"/>
      </iconSet>
    </cfRule>
  </conditionalFormatting>
  <conditionalFormatting sqref="B11 G11">
    <cfRule type="iconSet" priority="16">
      <iconSet iconSet="3Arrows">
        <cfvo type="percent" val="0"/>
        <cfvo type="percent" val="33"/>
        <cfvo type="percent" val="67"/>
      </iconSet>
    </cfRule>
  </conditionalFormatting>
  <conditionalFormatting sqref="B12 G12">
    <cfRule type="iconSet" priority="15">
      <iconSet iconSet="3Arrows">
        <cfvo type="percent" val="0"/>
        <cfvo type="percent" val="33"/>
        <cfvo type="percent" val="67"/>
      </iconSet>
    </cfRule>
  </conditionalFormatting>
  <conditionalFormatting sqref="B13 G13">
    <cfRule type="iconSet" priority="14">
      <iconSet iconSet="3Arrows">
        <cfvo type="percent" val="0"/>
        <cfvo type="percent" val="33"/>
        <cfvo type="percent" val="67"/>
      </iconSet>
    </cfRule>
  </conditionalFormatting>
  <conditionalFormatting sqref="B14 G14">
    <cfRule type="iconSet" priority="13">
      <iconSet iconSet="3Arrows">
        <cfvo type="percent" val="0"/>
        <cfvo type="percent" val="33"/>
        <cfvo type="percent" val="67"/>
      </iconSet>
    </cfRule>
  </conditionalFormatting>
  <conditionalFormatting sqref="B15 G15">
    <cfRule type="iconSet" priority="12">
      <iconSet iconSet="3Arrows">
        <cfvo type="percent" val="0"/>
        <cfvo type="percent" val="33"/>
        <cfvo type="percent" val="67"/>
      </iconSet>
    </cfRule>
  </conditionalFormatting>
  <conditionalFormatting sqref="B31 G31">
    <cfRule type="iconSet" priority="11">
      <iconSet iconSet="3Arrows">
        <cfvo type="percent" val="0"/>
        <cfvo type="percent" val="33"/>
        <cfvo type="percent" val="67"/>
      </iconSet>
    </cfRule>
  </conditionalFormatting>
  <conditionalFormatting sqref="B32 G32">
    <cfRule type="iconSet" priority="10">
      <iconSet iconSet="3Arrows">
        <cfvo type="percent" val="0"/>
        <cfvo type="percent" val="33"/>
        <cfvo type="percent" val="67"/>
      </iconSet>
    </cfRule>
  </conditionalFormatting>
  <conditionalFormatting sqref="B33 G33">
    <cfRule type="iconSet" priority="9">
      <iconSet iconSet="3Arrows">
        <cfvo type="percent" val="0"/>
        <cfvo type="percent" val="33"/>
        <cfvo type="percent" val="67"/>
      </iconSet>
    </cfRule>
  </conditionalFormatting>
  <conditionalFormatting sqref="B34 G34">
    <cfRule type="iconSet" priority="8">
      <iconSet iconSet="3Arrows">
        <cfvo type="percent" val="0"/>
        <cfvo type="percent" val="33"/>
        <cfvo type="percent" val="67"/>
      </iconSet>
    </cfRule>
  </conditionalFormatting>
  <conditionalFormatting sqref="B35 G35">
    <cfRule type="iconSet" priority="7">
      <iconSet iconSet="3Arrows">
        <cfvo type="percent" val="0"/>
        <cfvo type="percent" val="33"/>
        <cfvo type="percent" val="67"/>
      </iconSet>
    </cfRule>
  </conditionalFormatting>
  <conditionalFormatting sqref="B36 G36">
    <cfRule type="iconSet" priority="6">
      <iconSet iconSet="3Arrows">
        <cfvo type="percent" val="0"/>
        <cfvo type="percent" val="33"/>
        <cfvo type="percent" val="67"/>
      </iconSet>
    </cfRule>
  </conditionalFormatting>
  <conditionalFormatting sqref="B37 G37">
    <cfRule type="iconSet" priority="5">
      <iconSet iconSet="3Arrows">
        <cfvo type="percent" val="0"/>
        <cfvo type="percent" val="33"/>
        <cfvo type="percent" val="67"/>
      </iconSet>
    </cfRule>
  </conditionalFormatting>
  <conditionalFormatting sqref="B38 G38">
    <cfRule type="iconSet" priority="4">
      <iconSet iconSet="3Arrows">
        <cfvo type="percent" val="0"/>
        <cfvo type="percent" val="33"/>
        <cfvo type="percent" val="67"/>
      </iconSet>
    </cfRule>
  </conditionalFormatting>
  <conditionalFormatting sqref="B39 G39">
    <cfRule type="iconSet" priority="3">
      <iconSet iconSet="3Arrows">
        <cfvo type="percent" val="0"/>
        <cfvo type="percent" val="33"/>
        <cfvo type="percent" val="67"/>
      </iconSet>
    </cfRule>
  </conditionalFormatting>
  <conditionalFormatting sqref="B40 G40">
    <cfRule type="iconSet" priority="2">
      <iconSet iconSet="3Arrows">
        <cfvo type="percent" val="0"/>
        <cfvo type="percent" val="33"/>
        <cfvo type="percent" val="67"/>
      </iconSet>
    </cfRule>
  </conditionalFormatting>
  <conditionalFormatting sqref="B41 G41">
    <cfRule type="iconSet" priority="1">
      <iconSet iconSet="3Arrows">
        <cfvo type="percent" val="0"/>
        <cfvo type="percent" val="33"/>
        <cfvo type="percent" val="67"/>
      </iconSet>
    </cfRule>
  </conditionalFormatting>
  <dataValidations count="3">
    <dataValidation type="list" allowBlank="1" showInputMessage="1" showErrorMessage="1" sqref="B3:E3 B29:E29">
      <formula1>$B$75:$B$86</formula1>
    </dataValidation>
    <dataValidation type="list" allowBlank="1" showInputMessage="1" showErrorMessage="1" sqref="C19:F19 C45:F45">
      <formula1>$Q$4:$Q$5</formula1>
    </dataValidation>
    <dataValidation type="list" allowBlank="1" showInputMessage="1" showErrorMessage="1" sqref="C22:F22 C48:F48">
      <formula1>$P$4:$P$8</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Feuil1</vt:lpstr>
      <vt:lpstr>Feuil2</vt:lpstr>
      <vt:lpstr>Feuil3</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THIERRY</dc:creator>
  <cp:lastModifiedBy>THIERRY</cp:lastModifiedBy>
  <dcterms:created xsi:type="dcterms:W3CDTF">2013-05-29T17:20:56Z</dcterms:created>
  <dcterms:modified xsi:type="dcterms:W3CDTF">2013-05-29T17:47:32Z</dcterms:modified>
</cp:coreProperties>
</file>