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12" yWindow="528" windowWidth="21852" windowHeight="8940" activeTab="6"/>
  </bookViews>
  <sheets>
    <sheet name="Mon armée" sheetId="1" r:id="rId1"/>
    <sheet name="Armée Ennemie" sheetId="2" r:id="rId2"/>
    <sheet name="Data" sheetId="3" r:id="rId3"/>
    <sheet name="Résumés Armées" sheetId="4" r:id="rId4"/>
    <sheet name="Calculs OS" sheetId="5" r:id="rId5"/>
    <sheet name="Opti XP" sheetId="6" r:id="rId6"/>
    <sheet name="Calcul XP" sheetId="7" r:id="rId7"/>
  </sheets>
  <calcPr calcId="125725"/>
</workbook>
</file>

<file path=xl/calcChain.xml><?xml version="1.0" encoding="utf-8"?>
<calcChain xmlns="http://schemas.openxmlformats.org/spreadsheetml/2006/main">
  <c r="N65" i="3"/>
  <c r="N63"/>
  <c r="N60"/>
  <c r="N58"/>
  <c r="G26" i="5"/>
  <c r="G25"/>
  <c r="G24"/>
  <c r="L23"/>
  <c r="G23"/>
  <c r="L22"/>
  <c r="M22" s="1"/>
  <c r="G22"/>
  <c r="L21"/>
  <c r="M21" s="1"/>
  <c r="G21"/>
  <c r="L20"/>
  <c r="M20" s="1"/>
  <c r="G20"/>
  <c r="L19"/>
  <c r="M19" s="1"/>
  <c r="G19"/>
  <c r="L18"/>
  <c r="M18" s="1"/>
  <c r="G18"/>
  <c r="L17"/>
  <c r="M17" s="1"/>
  <c r="G17"/>
  <c r="L16"/>
  <c r="M16" s="1"/>
  <c r="G16"/>
  <c r="L15"/>
  <c r="G15"/>
  <c r="G14"/>
  <c r="G13"/>
  <c r="E8"/>
  <c r="F3"/>
  <c r="E3"/>
  <c r="G3" s="1"/>
  <c r="N66" i="3"/>
  <c r="N64"/>
  <c r="N62"/>
  <c r="N57" s="1"/>
  <c r="N61"/>
  <c r="N59"/>
  <c r="N56"/>
  <c r="N55"/>
  <c r="N54"/>
  <c r="N53"/>
  <c r="J53"/>
  <c r="K53" s="1"/>
  <c r="N49"/>
  <c r="N48" s="1"/>
  <c r="N47"/>
  <c r="N46"/>
  <c r="N45"/>
  <c r="N40" s="1"/>
  <c r="N44"/>
  <c r="N43" s="1"/>
  <c r="N42"/>
  <c r="N41" s="1"/>
  <c r="N39"/>
  <c r="N38"/>
  <c r="N37"/>
  <c r="N36"/>
  <c r="K36"/>
  <c r="J37" s="1"/>
  <c r="J36"/>
  <c r="N32"/>
  <c r="N31" s="1"/>
  <c r="N30"/>
  <c r="N29" s="1"/>
  <c r="N28"/>
  <c r="N27"/>
  <c r="N26" s="1"/>
  <c r="N25"/>
  <c r="N24"/>
  <c r="N23"/>
  <c r="N22"/>
  <c r="C22"/>
  <c r="C24" s="1"/>
  <c r="F21" i="4" s="1"/>
  <c r="I7" i="2" s="1"/>
  <c r="B22" i="3"/>
  <c r="A22"/>
  <c r="N21"/>
  <c r="N20"/>
  <c r="J20"/>
  <c r="B20"/>
  <c r="A20"/>
  <c r="C20" s="1"/>
  <c r="D20" s="1"/>
  <c r="N19"/>
  <c r="L19"/>
  <c r="R20" s="1"/>
  <c r="R21" s="1"/>
  <c r="R22" s="1"/>
  <c r="R23" s="1"/>
  <c r="R24" s="1"/>
  <c r="R25" s="1"/>
  <c r="R26" s="1"/>
  <c r="R27" s="1"/>
  <c r="R28" s="1"/>
  <c r="R29" s="1"/>
  <c r="R30" s="1"/>
  <c r="R31" s="1"/>
  <c r="R32" s="1"/>
  <c r="H3" i="5" s="1"/>
  <c r="I3" s="1"/>
  <c r="K19" i="3"/>
  <c r="J19"/>
  <c r="B18"/>
  <c r="C18" s="1"/>
  <c r="K3" i="4" s="1"/>
  <c r="A18" i="3"/>
  <c r="N15"/>
  <c r="N14"/>
  <c r="N13"/>
  <c r="N12" s="1"/>
  <c r="N11"/>
  <c r="N10"/>
  <c r="N9"/>
  <c r="N8"/>
  <c r="N7"/>
  <c r="N6"/>
  <c r="N5"/>
  <c r="N4"/>
  <c r="N3"/>
  <c r="F3"/>
  <c r="B3" s="1"/>
  <c r="N2"/>
  <c r="J2"/>
  <c r="K2" s="1"/>
  <c r="J3" s="1"/>
  <c r="G2"/>
  <c r="C2" s="1"/>
  <c r="F2"/>
  <c r="B2"/>
  <c r="K19" i="2"/>
  <c r="K18"/>
  <c r="K17"/>
  <c r="K16"/>
  <c r="K15"/>
  <c r="K14"/>
  <c r="K13"/>
  <c r="K12"/>
  <c r="I5"/>
  <c r="J5" s="1"/>
  <c r="M4"/>
  <c r="J54" i="3" l="1"/>
  <c r="L53"/>
  <c r="G3"/>
  <c r="F4"/>
  <c r="M19"/>
  <c r="P19" s="1"/>
  <c r="K20"/>
  <c r="J21" s="1"/>
  <c r="L36"/>
  <c r="G19" i="4"/>
  <c r="M15" i="5"/>
  <c r="C6" i="6"/>
  <c r="J5" i="7" s="1"/>
  <c r="L2" i="3"/>
  <c r="C4" i="6"/>
  <c r="J3" i="7" s="1"/>
  <c r="C7" i="6"/>
  <c r="J6" i="7" s="1"/>
  <c r="C10" i="6"/>
  <c r="J9" i="7" s="1"/>
  <c r="C15" i="6"/>
  <c r="J14" i="7" s="1"/>
  <c r="C8" i="6"/>
  <c r="J7" i="7" s="1"/>
  <c r="N7" l="1"/>
  <c r="N6"/>
  <c r="N5"/>
  <c r="H19" i="4"/>
  <c r="I19"/>
  <c r="I2" i="7"/>
  <c r="M2" s="1"/>
  <c r="J19" i="4"/>
  <c r="F5" i="3"/>
  <c r="B4"/>
  <c r="L20"/>
  <c r="N9" i="7"/>
  <c r="N14"/>
  <c r="M2" i="3"/>
  <c r="G2" i="4"/>
  <c r="N3" i="7"/>
  <c r="M36" i="3"/>
  <c r="R37"/>
  <c r="R38" s="1"/>
  <c r="R39" s="1"/>
  <c r="R40" s="1"/>
  <c r="R41" s="1"/>
  <c r="R42" s="1"/>
  <c r="R43" s="1"/>
  <c r="R44" s="1"/>
  <c r="R45" s="1"/>
  <c r="R46" s="1"/>
  <c r="R47" s="1"/>
  <c r="R48" s="1"/>
  <c r="R49" s="1"/>
  <c r="L7" i="1"/>
  <c r="G4" i="3"/>
  <c r="C3"/>
  <c r="M53"/>
  <c r="P53" s="1"/>
  <c r="O7" i="1" l="1"/>
  <c r="M7"/>
  <c r="N7"/>
  <c r="G20" i="4"/>
  <c r="M20" i="3"/>
  <c r="C4"/>
  <c r="G5"/>
  <c r="P36"/>
  <c r="K37"/>
  <c r="J38" s="1"/>
  <c r="K3"/>
  <c r="J4" s="1"/>
  <c r="K54"/>
  <c r="J55" s="1"/>
  <c r="B5"/>
  <c r="F6"/>
  <c r="H2" i="4"/>
  <c r="I2"/>
  <c r="J2"/>
  <c r="L54" i="3"/>
  <c r="M54" s="1"/>
  <c r="G6" l="1"/>
  <c r="C5"/>
  <c r="H20" i="4"/>
  <c r="I3" i="7"/>
  <c r="M3" s="1"/>
  <c r="I20" i="4"/>
  <c r="J20"/>
  <c r="F7" i="3"/>
  <c r="B6"/>
  <c r="P20"/>
  <c r="K21"/>
  <c r="J22" s="1"/>
  <c r="L21"/>
  <c r="L3"/>
  <c r="P54"/>
  <c r="R54"/>
  <c r="R55" s="1"/>
  <c r="R56" s="1"/>
  <c r="R57" s="1"/>
  <c r="R58" s="1"/>
  <c r="R59" s="1"/>
  <c r="R60" s="1"/>
  <c r="R61" s="1"/>
  <c r="R62" s="1"/>
  <c r="R63" s="1"/>
  <c r="R64" s="1"/>
  <c r="R65" s="1"/>
  <c r="R66" s="1"/>
  <c r="K55"/>
  <c r="J56" s="1"/>
  <c r="L37"/>
  <c r="M21" l="1"/>
  <c r="P21" s="1"/>
  <c r="G21" i="4"/>
  <c r="B7" i="3"/>
  <c r="F8"/>
  <c r="G3" i="4"/>
  <c r="M3" i="3"/>
  <c r="L55"/>
  <c r="M55" s="1"/>
  <c r="P55" s="1"/>
  <c r="L8" i="1"/>
  <c r="M37" i="3"/>
  <c r="C6"/>
  <c r="G7"/>
  <c r="K22"/>
  <c r="J23" s="1"/>
  <c r="K4" l="1"/>
  <c r="J5" s="1"/>
  <c r="F9"/>
  <c r="B8"/>
  <c r="L22"/>
  <c r="K56"/>
  <c r="G8"/>
  <c r="C7"/>
  <c r="P37"/>
  <c r="K38"/>
  <c r="J39" s="1"/>
  <c r="O8" i="1"/>
  <c r="H4" i="6"/>
  <c r="N8" i="1"/>
  <c r="M8"/>
  <c r="H3" i="4"/>
  <c r="I3"/>
  <c r="J3"/>
  <c r="I21"/>
  <c r="J21"/>
  <c r="I4" i="7"/>
  <c r="M4" s="1"/>
  <c r="H21" i="4"/>
  <c r="G9" i="3" l="1"/>
  <c r="C8"/>
  <c r="F10"/>
  <c r="B9"/>
  <c r="L38"/>
  <c r="M22"/>
  <c r="G22" i="4"/>
  <c r="L4" i="3"/>
  <c r="J57"/>
  <c r="L56"/>
  <c r="M56" s="1"/>
  <c r="P56" s="1"/>
  <c r="M38" l="1"/>
  <c r="L9" i="1"/>
  <c r="G10" i="3"/>
  <c r="C9"/>
  <c r="K57"/>
  <c r="J58" s="1"/>
  <c r="P22"/>
  <c r="K23"/>
  <c r="J24" s="1"/>
  <c r="B10"/>
  <c r="F11"/>
  <c r="M4"/>
  <c r="G4" i="4"/>
  <c r="H22"/>
  <c r="I22"/>
  <c r="I5" i="7"/>
  <c r="M5" s="1"/>
  <c r="J22" i="4"/>
  <c r="B11" i="3" l="1"/>
  <c r="F12"/>
  <c r="K5"/>
  <c r="J6" s="1"/>
  <c r="I4" i="4"/>
  <c r="J4"/>
  <c r="H4"/>
  <c r="P38" i="3"/>
  <c r="K39"/>
  <c r="J40" s="1"/>
  <c r="L23"/>
  <c r="L57"/>
  <c r="M57" s="1"/>
  <c r="P57" s="1"/>
  <c r="L58"/>
  <c r="M58" s="1"/>
  <c r="P58" s="1"/>
  <c r="K58"/>
  <c r="J59" s="1"/>
  <c r="O9" i="1"/>
  <c r="M29" i="5"/>
  <c r="N9" i="1"/>
  <c r="M9"/>
  <c r="C10" i="3"/>
  <c r="G11"/>
  <c r="K24"/>
  <c r="J25" s="1"/>
  <c r="G12" l="1"/>
  <c r="C11"/>
  <c r="K59"/>
  <c r="J60" s="1"/>
  <c r="F13"/>
  <c r="B12"/>
  <c r="L39"/>
  <c r="G23" i="4"/>
  <c r="M23" i="3"/>
  <c r="L5"/>
  <c r="H23" i="4" l="1"/>
  <c r="I6" i="7"/>
  <c r="M6" s="1"/>
  <c r="I23" i="4"/>
  <c r="J23"/>
  <c r="P23" i="3"/>
  <c r="L24"/>
  <c r="M5"/>
  <c r="G5" i="4"/>
  <c r="M39" i="3"/>
  <c r="L10" i="1"/>
  <c r="L59" i="3"/>
  <c r="M59" s="1"/>
  <c r="P59" s="1"/>
  <c r="F14"/>
  <c r="B13"/>
  <c r="G13"/>
  <c r="C12"/>
  <c r="K6" l="1"/>
  <c r="J7" s="1"/>
  <c r="G24" i="4"/>
  <c r="M24" i="3"/>
  <c r="B14"/>
  <c r="F15"/>
  <c r="B15" s="1"/>
  <c r="H5" i="4"/>
  <c r="I5"/>
  <c r="J5"/>
  <c r="P39" i="3"/>
  <c r="K40"/>
  <c r="J41" s="1"/>
  <c r="C13"/>
  <c r="G14"/>
  <c r="H6" i="6"/>
  <c r="O10" i="1"/>
  <c r="M10"/>
  <c r="N10"/>
  <c r="K60" i="3"/>
  <c r="J61" s="1"/>
  <c r="P24" l="1"/>
  <c r="K25"/>
  <c r="J26" s="1"/>
  <c r="L40"/>
  <c r="L60"/>
  <c r="M60" s="1"/>
  <c r="P60" s="1"/>
  <c r="L6"/>
  <c r="K7"/>
  <c r="J8" s="1"/>
  <c r="H24" i="4"/>
  <c r="I7" i="7"/>
  <c r="M7" s="1"/>
  <c r="I24" i="4"/>
  <c r="J24"/>
  <c r="C14" i="3"/>
  <c r="G15"/>
  <c r="C15" s="1"/>
  <c r="K26" l="1"/>
  <c r="J27" s="1"/>
  <c r="K61"/>
  <c r="J62" s="1"/>
  <c r="L11" i="1"/>
  <c r="M40" i="3"/>
  <c r="M6"/>
  <c r="L7" s="1"/>
  <c r="G6" i="4"/>
  <c r="L25" i="3"/>
  <c r="G7" i="4" l="1"/>
  <c r="M7" i="3"/>
  <c r="H6" i="4"/>
  <c r="I6"/>
  <c r="J6"/>
  <c r="O11" i="1"/>
  <c r="H7" i="6"/>
  <c r="N11" i="1"/>
  <c r="M11"/>
  <c r="M25" i="3"/>
  <c r="G25" i="4"/>
  <c r="P40" i="3"/>
  <c r="K41"/>
  <c r="J42" s="1"/>
  <c r="L61"/>
  <c r="M61" s="1"/>
  <c r="P61" s="1"/>
  <c r="H7" i="4" l="1"/>
  <c r="I7"/>
  <c r="J7"/>
  <c r="K62" i="3"/>
  <c r="J63" s="1"/>
  <c r="K8"/>
  <c r="J9" s="1"/>
  <c r="L8"/>
  <c r="P25"/>
  <c r="L26"/>
  <c r="L41"/>
  <c r="J25" i="4"/>
  <c r="I8" i="7"/>
  <c r="M8" s="1"/>
  <c r="H25" i="4"/>
  <c r="I25"/>
  <c r="G8" l="1"/>
  <c r="M8" i="3"/>
  <c r="G26" i="4"/>
  <c r="M26" i="3"/>
  <c r="L62"/>
  <c r="M62" s="1"/>
  <c r="P62" s="1"/>
  <c r="L12" i="1"/>
  <c r="M41" i="3"/>
  <c r="L9"/>
  <c r="K9"/>
  <c r="J10" s="1"/>
  <c r="K63"/>
  <c r="J64" s="1"/>
  <c r="H8" i="4" l="1"/>
  <c r="I8"/>
  <c r="J8"/>
  <c r="O12" i="1"/>
  <c r="H8" i="6"/>
  <c r="N12" i="1"/>
  <c r="M12"/>
  <c r="P41" i="3"/>
  <c r="K42"/>
  <c r="J43" s="1"/>
  <c r="I26" i="4"/>
  <c r="J26"/>
  <c r="I9" i="7"/>
  <c r="M9" s="1"/>
  <c r="H26" i="4"/>
  <c r="L63" i="3"/>
  <c r="M63" s="1"/>
  <c r="P63" s="1"/>
  <c r="G9" i="4"/>
  <c r="M9" i="3"/>
  <c r="K10" s="1"/>
  <c r="J11" s="1"/>
  <c r="P26"/>
  <c r="L27"/>
  <c r="K27"/>
  <c r="J28" s="1"/>
  <c r="K43" l="1"/>
  <c r="J44" s="1"/>
  <c r="L10"/>
  <c r="L42"/>
  <c r="M27"/>
  <c r="P27" s="1"/>
  <c r="G27" i="4"/>
  <c r="K64" i="3"/>
  <c r="J65" s="1"/>
  <c r="K28"/>
  <c r="J29" s="1"/>
  <c r="J9" i="4"/>
  <c r="H9"/>
  <c r="I9"/>
  <c r="H27" l="1"/>
  <c r="I27"/>
  <c r="I10" i="7"/>
  <c r="M10" s="1"/>
  <c r="J27" i="4"/>
  <c r="G10"/>
  <c r="M10" i="3"/>
  <c r="K65"/>
  <c r="J66" s="1"/>
  <c r="M42"/>
  <c r="L13" i="1"/>
  <c r="L28" i="3"/>
  <c r="L64"/>
  <c r="M64" s="1"/>
  <c r="P64" s="1"/>
  <c r="K29"/>
  <c r="J30" s="1"/>
  <c r="P42" l="1"/>
  <c r="L43"/>
  <c r="I10" i="4"/>
  <c r="J10"/>
  <c r="H10"/>
  <c r="O13" i="1"/>
  <c r="M30" i="5"/>
  <c r="N13" i="1"/>
  <c r="M13"/>
  <c r="L11" i="3"/>
  <c r="K11"/>
  <c r="J12" s="1"/>
  <c r="M28"/>
  <c r="G28" i="4"/>
  <c r="L65" i="3"/>
  <c r="M65" s="1"/>
  <c r="P65" s="1"/>
  <c r="G11" i="4" l="1"/>
  <c r="M11" i="3"/>
  <c r="L12" s="1"/>
  <c r="H28" i="4"/>
  <c r="I28"/>
  <c r="I11" i="7"/>
  <c r="M11" s="1"/>
  <c r="J28" i="4"/>
  <c r="M43" i="3"/>
  <c r="L14" i="1"/>
  <c r="K12" i="3"/>
  <c r="J13" s="1"/>
  <c r="K66"/>
  <c r="L66" s="1"/>
  <c r="M66" s="1"/>
  <c r="P66" s="1"/>
  <c r="P28"/>
  <c r="L29"/>
  <c r="M12" l="1"/>
  <c r="K13" s="1"/>
  <c r="G12" i="4"/>
  <c r="I11"/>
  <c r="J11"/>
  <c r="H11"/>
  <c r="P43" i="3"/>
  <c r="K44"/>
  <c r="J45" s="1"/>
  <c r="M29"/>
  <c r="G29" i="4"/>
  <c r="O14" i="1"/>
  <c r="M14"/>
  <c r="H10" i="6"/>
  <c r="N14" i="1"/>
  <c r="J14" i="3" l="1"/>
  <c r="L13"/>
  <c r="H29" i="4"/>
  <c r="I29"/>
  <c r="I12" i="7"/>
  <c r="M12" s="1"/>
  <c r="J29" i="4"/>
  <c r="L44" i="3"/>
  <c r="I12" i="4"/>
  <c r="J12"/>
  <c r="H12"/>
  <c r="P29" i="3"/>
  <c r="L30"/>
  <c r="K30"/>
  <c r="J31" s="1"/>
  <c r="G30" i="4" l="1"/>
  <c r="M30" i="3"/>
  <c r="P30" s="1"/>
  <c r="K14"/>
  <c r="J15" s="1"/>
  <c r="M13"/>
  <c r="L14" s="1"/>
  <c r="G13" i="4"/>
  <c r="L15" i="1"/>
  <c r="M44" i="3"/>
  <c r="L31"/>
  <c r="K31"/>
  <c r="J32" s="1"/>
  <c r="G14" i="4" l="1"/>
  <c r="M14" i="3"/>
  <c r="H30" i="4"/>
  <c r="I30"/>
  <c r="I13" i="7"/>
  <c r="M13" s="1"/>
  <c r="J30" i="4"/>
  <c r="M25" i="5"/>
  <c r="O15" i="1"/>
  <c r="N15"/>
  <c r="M15"/>
  <c r="G31" i="4"/>
  <c r="M31" i="3"/>
  <c r="P31" s="1"/>
  <c r="I13" i="4"/>
  <c r="J13"/>
  <c r="H13"/>
  <c r="P44" i="3"/>
  <c r="K45"/>
  <c r="J46" s="1"/>
  <c r="K15"/>
  <c r="L15" s="1"/>
  <c r="G15" i="4" l="1"/>
  <c r="M15" i="3"/>
  <c r="H31" i="4"/>
  <c r="I14" i="7"/>
  <c r="M14" s="1"/>
  <c r="I31" i="4"/>
  <c r="J31"/>
  <c r="H14"/>
  <c r="I14"/>
  <c r="J14"/>
  <c r="L45" i="3"/>
  <c r="K32"/>
  <c r="L32" s="1"/>
  <c r="G32" i="4" l="1"/>
  <c r="M32" i="3"/>
  <c r="P32" s="1"/>
  <c r="H15" i="4"/>
  <c r="K2" s="1"/>
  <c r="I15"/>
  <c r="K7" s="1"/>
  <c r="J15"/>
  <c r="K13" s="1"/>
  <c r="L16" i="1"/>
  <c r="M45" i="3"/>
  <c r="O16" i="1" l="1"/>
  <c r="M28" i="5"/>
  <c r="N16" i="1"/>
  <c r="M16"/>
  <c r="K4" i="4"/>
  <c r="B3" i="5" s="1"/>
  <c r="J3" s="1"/>
  <c r="K3" s="1"/>
  <c r="L3" s="1"/>
  <c r="F23" i="4" s="1"/>
  <c r="J7" i="2" s="1"/>
  <c r="F4" i="4"/>
  <c r="J32"/>
  <c r="K30" s="1"/>
  <c r="I15" i="7"/>
  <c r="M15" s="1"/>
  <c r="M16" s="1"/>
  <c r="H32" i="4"/>
  <c r="K19" s="1"/>
  <c r="I32"/>
  <c r="K24" s="1"/>
  <c r="P45" i="3"/>
  <c r="K46"/>
  <c r="J47" s="1"/>
  <c r="K8" i="4"/>
  <c r="K9"/>
  <c r="K31" l="1"/>
  <c r="K32" s="1"/>
  <c r="L46" i="3"/>
  <c r="K20" i="4"/>
  <c r="K6" i="2" s="1"/>
  <c r="K5"/>
  <c r="K21" i="4"/>
  <c r="K7" i="2" s="1"/>
  <c r="K25" i="4"/>
  <c r="L6" i="2" s="1"/>
  <c r="L5"/>
  <c r="K26" i="4"/>
  <c r="L12" i="5" l="1"/>
  <c r="M5" i="2"/>
  <c r="L7"/>
  <c r="B8" i="5"/>
  <c r="C8" s="1"/>
  <c r="F8" s="1"/>
  <c r="G8" s="1"/>
  <c r="L13" s="1"/>
  <c r="C3" i="6" s="1"/>
  <c r="M46" i="3"/>
  <c r="L17" i="1"/>
  <c r="P46" i="3" l="1"/>
  <c r="K47"/>
  <c r="J48" s="1"/>
  <c r="L14" i="5"/>
  <c r="O17" i="1"/>
  <c r="N17"/>
  <c r="M17"/>
  <c r="M23" i="5"/>
  <c r="J2" i="7"/>
  <c r="H3" i="6"/>
  <c r="L47" i="3" l="1"/>
  <c r="N2" i="7"/>
  <c r="N15" i="5"/>
  <c r="N16" s="1"/>
  <c r="O15"/>
  <c r="P15" s="1"/>
  <c r="M47" i="3" l="1"/>
  <c r="L18" i="1"/>
  <c r="O16" i="5"/>
  <c r="P16" s="1"/>
  <c r="N17" s="1"/>
  <c r="O17" l="1"/>
  <c r="P17" s="1"/>
  <c r="N18" s="1"/>
  <c r="P47" i="3"/>
  <c r="K48"/>
  <c r="J49" s="1"/>
  <c r="O18" i="1"/>
  <c r="M26" i="5"/>
  <c r="N18" i="1"/>
  <c r="M18"/>
  <c r="O18" i="5" l="1"/>
  <c r="P18" s="1"/>
  <c r="N19" s="1"/>
  <c r="L48" i="3"/>
  <c r="O19" i="5" l="1"/>
  <c r="P19" s="1"/>
  <c r="N20" s="1"/>
  <c r="L19" i="1"/>
  <c r="M48" i="3"/>
  <c r="O20" i="5" l="1"/>
  <c r="P20" s="1"/>
  <c r="N21" s="1"/>
  <c r="O19" i="1"/>
  <c r="H15" i="6"/>
  <c r="N19" i="1"/>
  <c r="M19"/>
  <c r="P48" i="3"/>
  <c r="K49"/>
  <c r="L49" s="1"/>
  <c r="O21" i="5" l="1"/>
  <c r="P21" s="1"/>
  <c r="N22" s="1"/>
  <c r="L20" i="1"/>
  <c r="M49" i="3"/>
  <c r="P49" s="1"/>
  <c r="O22" i="5" l="1"/>
  <c r="P22" s="1"/>
  <c r="N23" s="1"/>
  <c r="O20" i="1"/>
  <c r="O21" s="1"/>
  <c r="M27" i="5"/>
  <c r="N20" i="1"/>
  <c r="N21" s="1"/>
  <c r="M20"/>
  <c r="M21" s="1"/>
  <c r="K23"/>
  <c r="K24" s="1"/>
  <c r="O23" i="5" l="1"/>
  <c r="P23" s="1"/>
  <c r="C13" i="6" s="1"/>
  <c r="N22" i="1"/>
  <c r="N23" s="1"/>
  <c r="M22"/>
  <c r="M23" s="1"/>
  <c r="O22"/>
  <c r="O23" s="1"/>
  <c r="N24" i="5" l="1"/>
  <c r="J12" i="7"/>
  <c r="H13" i="6"/>
  <c r="O24" i="1"/>
  <c r="O25"/>
  <c r="N12" i="7" l="1"/>
  <c r="O24" i="5"/>
  <c r="P24" s="1"/>
  <c r="N25" s="1"/>
  <c r="O25" l="1"/>
  <c r="P25" s="1"/>
  <c r="C11" i="6" s="1"/>
  <c r="N26" i="5" l="1"/>
  <c r="J10" i="7"/>
  <c r="N10" s="1"/>
  <c r="H11" i="6"/>
  <c r="O26" i="5" l="1"/>
  <c r="P26" s="1"/>
  <c r="C14" i="6" s="1"/>
  <c r="N27" i="5" l="1"/>
  <c r="O27" s="1"/>
  <c r="P27" s="1"/>
  <c r="C16" i="6" s="1"/>
  <c r="J13" i="7"/>
  <c r="N13" s="1"/>
  <c r="H14" i="6"/>
  <c r="N28" i="5" l="1"/>
  <c r="J15" i="7"/>
  <c r="N15" s="1"/>
  <c r="H16" i="6"/>
  <c r="N29" i="5" l="1"/>
  <c r="O28"/>
  <c r="P28" s="1"/>
  <c r="C12" i="6" s="1"/>
  <c r="O29" i="5" l="1"/>
  <c r="P29" s="1"/>
  <c r="C5" i="6" s="1"/>
  <c r="J11" i="7"/>
  <c r="N11" s="1"/>
  <c r="H12" i="6"/>
  <c r="N30" i="5" l="1"/>
  <c r="J4" i="7"/>
  <c r="N4" s="1"/>
  <c r="H5" i="6"/>
  <c r="O30" i="5" l="1"/>
  <c r="P30" s="1"/>
  <c r="C9" i="6" s="1"/>
  <c r="N31" i="5" l="1"/>
  <c r="M6" i="2" s="1"/>
  <c r="J8" i="7"/>
  <c r="N8" s="1"/>
  <c r="N16" s="1"/>
  <c r="C17" s="1"/>
  <c r="C18" s="1"/>
  <c r="C19" s="1"/>
  <c r="C20" s="1"/>
  <c r="H9" i="6"/>
  <c r="H18" s="1"/>
  <c r="C18"/>
  <c r="C25" i="7" l="1"/>
  <c r="E6" i="6" s="1"/>
  <c r="C29" i="7"/>
  <c r="C26"/>
  <c r="C27"/>
  <c r="C23"/>
  <c r="E4" i="6" s="1"/>
  <c r="C34" i="7"/>
  <c r="C22"/>
  <c r="E3" i="6" s="1"/>
  <c r="C32" i="7"/>
  <c r="E7" i="6"/>
  <c r="E10"/>
  <c r="E8"/>
  <c r="E15"/>
  <c r="E13"/>
  <c r="E18" l="1"/>
  <c r="E20" s="1"/>
</calcChain>
</file>

<file path=xl/sharedStrings.xml><?xml version="1.0" encoding="utf-8"?>
<sst xmlns="http://schemas.openxmlformats.org/spreadsheetml/2006/main" count="430" uniqueCount="147">
  <si>
    <t>↓ RC à coller ici (A2)</t>
  </si>
  <si>
    <t>Fourmizzz 16/05/13 09h04 Rapport de combat</t>
  </si>
  <si>
    <t/>
  </si>
  <si>
    <t>Vous attaquez la Loge Impériale de Fourmyx</t>
  </si>
  <si>
    <t>Armée</t>
  </si>
  <si>
    <t>Attaque</t>
  </si>
  <si>
    <t>Défense</t>
  </si>
  <si>
    <t>Vie</t>
  </si>
  <si>
    <t>Troupes en attaque:309 976 872 Jeunes Soldates Naines, 763 346 Soldates Naines, 3 000 Concierges, 100 000 Artilleuses d'élites, 13 371 657 Tanks, 18 013 Tanks d'élites, 13 160 326 Tueuses, 22 369 Tueuses d'élites. </t>
  </si>
  <si>
    <t>Vous êtes en</t>
  </si>
  <si>
    <t>Jeunes Soldates Naines</t>
  </si>
  <si>
    <t>Troupes en défense:1 Jeune Soldate Naine. </t>
  </si>
  <si>
    <t>Soldates Naines</t>
  </si>
  <si>
    <t>Armes</t>
  </si>
  <si>
    <t>Naines d'Elites</t>
  </si>
  <si>
    <t>Vous infligez 2 332 879 116(+4 899 046 144) dégâts et tuez 1 ennemie.</t>
  </si>
  <si>
    <t>Jeunes Soldates</t>
  </si>
  <si>
    <t>L’ennemie inflige 1(+1) dégâts à vos fourmis et en tue 0.</t>
  </si>
  <si>
    <t>Bt</t>
  </si>
  <si>
    <t>Soldates</t>
  </si>
  <si>
    <t>Concierges</t>
  </si>
  <si>
    <t>Ecrasante victoire !</t>
  </si>
  <si>
    <t>Dôme</t>
  </si>
  <si>
    <t>Concierges d'élites</t>
  </si>
  <si>
    <t>A peine le temps de se dégourdir les pattes qu’ils étaient tous morts ...</t>
  </si>
  <si>
    <t>Artilleuses</t>
  </si>
  <si>
    <t>Vous avez gagné cette bataille!</t>
  </si>
  <si>
    <t>Loge</t>
  </si>
  <si>
    <t>Artilleuses d'élites</t>
  </si>
  <si>
    <t>Soldates d'élites</t>
  </si>
  <si>
    <t>Cochenille</t>
  </si>
  <si>
    <t>Tanks</t>
  </si>
  <si>
    <t>Tanks d'élites</t>
  </si>
  <si>
    <t>Tueuses</t>
  </si>
  <si>
    <t>Tueuses d'élites</t>
  </si>
  <si>
    <t>HB</t>
  </si>
  <si>
    <t>Bonus</t>
  </si>
  <si>
    <t>Vous êtes pex à</t>
  </si>
  <si>
    <t>Total</t>
  </si>
  <si>
    <t>Fourmizzz 23/05/13 02h03 Rapport de combat</t>
  </si>
  <si>
    <t>Lieu</t>
  </si>
  <si>
    <t>Pseudo</t>
  </si>
  <si>
    <t>Def</t>
  </si>
  <si>
    <t>Vous attaquez la Loge Impériale de Arakas</t>
  </si>
  <si>
    <t>BT Equivalent (BT+Lieu)</t>
  </si>
  <si>
    <t>Troupes en attaque:100 Jeunes Soldates.</t>
  </si>
  <si>
    <t>Troupes en défense:760 322 Jeunes Soldates Naines.</t>
  </si>
  <si>
    <t>Choisir l'optimisation en fonction de la priorité, 0 = ne pas envoyer, 9 = max</t>
  </si>
  <si>
    <t>Vous infligez 1 000(+2 100) dégâts et tuez 54 ennemies.</t>
  </si>
  <si>
    <t>Ne pas mettre deux fois la même priorité (sauf 0)</t>
  </si>
  <si>
    <t>L’ennemie inflige 1 520 644(+3 345 417) dégâts à vos fourmis et en tue 100.</t>
  </si>
  <si>
    <t>Priorité</t>
  </si>
  <si>
    <t>Unité</t>
  </si>
  <si>
    <t>Vous avez infiltré l’ennemi. Les informations sont bien rentrées... mais pas vos soldates !</t>
  </si>
  <si>
    <t>Vos troupes ont échoué</t>
  </si>
  <si>
    <t>Troupes</t>
  </si>
  <si>
    <t>Troupes avant</t>
  </si>
  <si>
    <t>Troupes après</t>
  </si>
  <si>
    <t>Quantité</t>
  </si>
  <si>
    <t>Dernière unité validée</t>
  </si>
  <si>
    <t>Elite oui/non</t>
  </si>
  <si>
    <t>+</t>
  </si>
  <si>
    <t>)</t>
  </si>
  <si>
    <t>Att</t>
  </si>
  <si>
    <t>L’ennemie inflige</t>
  </si>
  <si>
    <t>(</t>
  </si>
  <si>
    <t>Armes def</t>
  </si>
  <si>
    <t>Mon Armée</t>
  </si>
  <si>
    <t>Cette ligne déconne</t>
  </si>
  <si>
    <t>Attaque base</t>
  </si>
  <si>
    <t>Defense base</t>
  </si>
  <si>
    <t>Vie base</t>
  </si>
  <si>
    <t>Attaquant</t>
  </si>
  <si>
    <t>Attaque HB</t>
  </si>
  <si>
    <t>Défense HB</t>
  </si>
  <si>
    <t>Vie HB</t>
  </si>
  <si>
    <t>BT</t>
  </si>
  <si>
    <t>Attaque attaquant</t>
  </si>
  <si>
    <t>Unités tuées</t>
  </si>
  <si>
    <t>tuez</t>
  </si>
  <si>
    <t>ennemies</t>
  </si>
  <si>
    <t>PERTES</t>
  </si>
  <si>
    <t>unité</t>
  </si>
  <si>
    <t>vie base</t>
  </si>
  <si>
    <t>PERTES SI 0 Bonus</t>
  </si>
  <si>
    <t>Bonus vie</t>
  </si>
  <si>
    <t>BT correspondant</t>
  </si>
  <si>
    <t>Calcul tampon à envoyer</t>
  </si>
  <si>
    <t>Réplique</t>
  </si>
  <si>
    <t>Vie jsn AB</t>
  </si>
  <si>
    <t>Jsn necéssaire</t>
  </si>
  <si>
    <t>Marge sécu</t>
  </si>
  <si>
    <t>Compléter RC</t>
  </si>
  <si>
    <t>Tank envoyé</t>
  </si>
  <si>
    <t>tank xp</t>
  </si>
  <si>
    <t>pourcentage</t>
  </si>
  <si>
    <t>Calcul OS</t>
  </si>
  <si>
    <t>Vie ennemi</t>
  </si>
  <si>
    <t>à récup dans autre onglet</t>
  </si>
  <si>
    <t>Meilleures unités pour pex :</t>
  </si>
  <si>
    <t>a</t>
  </si>
  <si>
    <t>Tampon envoyé</t>
  </si>
  <si>
    <t>ae</t>
  </si>
  <si>
    <t>Restant pour os</t>
  </si>
  <si>
    <t>Quantité à dispo</t>
  </si>
  <si>
    <t>Vie restante</t>
  </si>
  <si>
    <t>Quantité nécéssaire pour OS</t>
  </si>
  <si>
    <t>Quantité envoyée</t>
  </si>
  <si>
    <t>tk</t>
  </si>
  <si>
    <t>Unité prio 9</t>
  </si>
  <si>
    <t>tke</t>
  </si>
  <si>
    <t>Unité prio 8</t>
  </si>
  <si>
    <t>tu</t>
  </si>
  <si>
    <t>Unité prio 7</t>
  </si>
  <si>
    <t>tue</t>
  </si>
  <si>
    <t>Unité prio 6</t>
  </si>
  <si>
    <t>js</t>
  </si>
  <si>
    <t>Unité prio 5</t>
  </si>
  <si>
    <t>s</t>
  </si>
  <si>
    <t>Unité prio 4</t>
  </si>
  <si>
    <t>se</t>
  </si>
  <si>
    <t>Unité prio 3</t>
  </si>
  <si>
    <t>ne</t>
  </si>
  <si>
    <t>Unité prio 2</t>
  </si>
  <si>
    <t>sn</t>
  </si>
  <si>
    <t>Unité prio 1</t>
  </si>
  <si>
    <t>jsn</t>
  </si>
  <si>
    <t>c</t>
  </si>
  <si>
    <t>ce</t>
  </si>
  <si>
    <t>Troupes à envoyer</t>
  </si>
  <si>
    <t>XP</t>
  </si>
  <si>
    <t>Il vous restera :</t>
  </si>
  <si>
    <t>Fdf gagnée :</t>
  </si>
  <si>
    <t>Fdf correspondante :</t>
  </si>
  <si>
    <t>Final</t>
  </si>
  <si>
    <t>Coeff</t>
  </si>
  <si>
    <t>Armée ennemie</t>
  </si>
  <si>
    <t>Armée Alliée</t>
  </si>
  <si>
    <t>Ennemi *coeff</t>
  </si>
  <si>
    <t>Armée * Coeff</t>
  </si>
  <si>
    <t>Somme</t>
  </si>
  <si>
    <t>Coeff xp</t>
  </si>
  <si>
    <t>avec Cochenille</t>
  </si>
  <si>
    <t>AB</t>
  </si>
  <si>
    <t>%age xp</t>
  </si>
  <si>
    <t>Troupes xp :</t>
  </si>
  <si>
    <t>-</t>
  </si>
</sst>
</file>

<file path=xl/styles.xml><?xml version="1.0" encoding="utf-8"?>
<styleSheet xmlns="http://schemas.openxmlformats.org/spreadsheetml/2006/main">
  <numFmts count="4">
    <numFmt numFmtId="164" formatCode="#,##0\ \ ;\-#,##0"/>
    <numFmt numFmtId="165" formatCode="#,##0.0000"/>
    <numFmt numFmtId="166" formatCode="#,##0.###############"/>
    <numFmt numFmtId="167" formatCode="#,##0.0000\ \ ;\-#,##0.0000"/>
  </numFmts>
  <fonts count="48"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9"/>
      <color rgb="FF000000"/>
      <name val="Verdana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b/>
      <sz val="9"/>
      <color rgb="FF000000"/>
      <name val="Verdana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Alignment="1">
      <alignment wrapText="1"/>
    </xf>
    <xf numFmtId="10" fontId="1" fillId="0" borderId="0" xfId="0" applyNumberFormat="1" applyFont="1"/>
    <xf numFmtId="0" fontId="2" fillId="0" borderId="1" xfId="0" applyFont="1" applyBorder="1"/>
    <xf numFmtId="0" fontId="3" fillId="0" borderId="2" xfId="0" applyFont="1" applyBorder="1" applyAlignment="1">
      <alignment horizontal="right" vertical="center"/>
    </xf>
    <xf numFmtId="9" fontId="4" fillId="0" borderId="0" xfId="0" applyNumberFormat="1" applyFont="1"/>
    <xf numFmtId="164" fontId="5" fillId="0" borderId="3" xfId="0" applyNumberFormat="1" applyFont="1" applyBorder="1" applyAlignment="1">
      <alignment horizontal="right" vertical="center"/>
    </xf>
    <xf numFmtId="0" fontId="6" fillId="0" borderId="4" xfId="0" applyFont="1" applyBorder="1"/>
    <xf numFmtId="0" fontId="7" fillId="0" borderId="5" xfId="0" applyFont="1" applyBorder="1"/>
    <xf numFmtId="0" fontId="8" fillId="0" borderId="6" xfId="0" applyFont="1" applyBorder="1"/>
    <xf numFmtId="0" fontId="9" fillId="0" borderId="7" xfId="0" applyFont="1" applyBorder="1" applyAlignment="1">
      <alignment horizontal="center"/>
    </xf>
    <xf numFmtId="0" fontId="10" fillId="0" borderId="0" xfId="0" applyFont="1"/>
    <xf numFmtId="0" fontId="11" fillId="0" borderId="8" xfId="0" applyFont="1" applyBorder="1"/>
    <xf numFmtId="0" fontId="12" fillId="0" borderId="9" xfId="0" applyFont="1" applyBorder="1"/>
    <xf numFmtId="10" fontId="13" fillId="0" borderId="10" xfId="0" applyNumberFormat="1" applyFont="1" applyBorder="1" applyAlignment="1">
      <alignment horizontal="center"/>
    </xf>
    <xf numFmtId="0" fontId="14" fillId="0" borderId="11" xfId="0" applyFont="1" applyBorder="1" applyAlignment="1">
      <alignment horizontal="right" vertical="center"/>
    </xf>
    <xf numFmtId="0" fontId="15" fillId="0" borderId="12" xfId="0" applyFont="1" applyBorder="1"/>
    <xf numFmtId="164" fontId="16" fillId="0" borderId="13" xfId="0" applyNumberFormat="1" applyFont="1" applyBorder="1" applyAlignment="1">
      <alignment horizontal="right" vertical="center"/>
    </xf>
    <xf numFmtId="164" fontId="17" fillId="0" borderId="14" xfId="0" applyNumberFormat="1" applyFont="1" applyBorder="1" applyAlignment="1">
      <alignment horizontal="right" vertical="center"/>
    </xf>
    <xf numFmtId="0" fontId="18" fillId="0" borderId="15" xfId="0" applyFont="1" applyBorder="1" applyAlignment="1">
      <alignment horizontal="right" vertical="center"/>
    </xf>
    <xf numFmtId="0" fontId="19" fillId="0" borderId="16" xfId="0" applyFont="1" applyBorder="1"/>
    <xf numFmtId="0" fontId="20" fillId="0" borderId="0" xfId="0" applyFont="1"/>
    <xf numFmtId="0" fontId="21" fillId="0" borderId="17" xfId="0" applyFont="1" applyBorder="1"/>
    <xf numFmtId="0" fontId="22" fillId="0" borderId="18" xfId="0" applyFont="1" applyBorder="1"/>
    <xf numFmtId="0" fontId="23" fillId="0" borderId="19" xfId="0" applyFont="1" applyBorder="1" applyAlignment="1">
      <alignment horizontal="center"/>
    </xf>
    <xf numFmtId="1" fontId="24" fillId="0" borderId="20" xfId="0" applyNumberFormat="1" applyFont="1" applyBorder="1" applyAlignment="1">
      <alignment horizontal="center"/>
    </xf>
    <xf numFmtId="0" fontId="25" fillId="0" borderId="21" xfId="0" applyFont="1" applyBorder="1"/>
    <xf numFmtId="0" fontId="26" fillId="0" borderId="22" xfId="0" applyFont="1" applyBorder="1"/>
    <xf numFmtId="164" fontId="27" fillId="0" borderId="23" xfId="0" applyNumberFormat="1" applyFont="1" applyBorder="1"/>
    <xf numFmtId="0" fontId="28" fillId="0" borderId="24" xfId="0" applyFont="1" applyBorder="1"/>
    <xf numFmtId="164" fontId="29" fillId="0" borderId="0" xfId="0" applyNumberFormat="1" applyFont="1"/>
    <xf numFmtId="0" fontId="30" fillId="0" borderId="25" xfId="0" applyFont="1" applyBorder="1"/>
    <xf numFmtId="0" fontId="31" fillId="0" borderId="26" xfId="0" applyFont="1" applyBorder="1"/>
    <xf numFmtId="164" fontId="32" fillId="0" borderId="27" xfId="0" applyNumberFormat="1" applyFont="1" applyBorder="1" applyAlignment="1">
      <alignment horizontal="center" vertical="center"/>
    </xf>
    <xf numFmtId="164" fontId="33" fillId="0" borderId="28" xfId="0" applyNumberFormat="1" applyFont="1" applyBorder="1" applyAlignment="1">
      <alignment horizontal="left" vertical="center"/>
    </xf>
    <xf numFmtId="0" fontId="34" fillId="0" borderId="29" xfId="0" applyFont="1" applyBorder="1"/>
    <xf numFmtId="0" fontId="35" fillId="0" borderId="30" xfId="0" applyFont="1" applyBorder="1"/>
    <xf numFmtId="0" fontId="36" fillId="0" borderId="31" xfId="0" applyFont="1" applyBorder="1"/>
    <xf numFmtId="0" fontId="37" fillId="0" borderId="32" xfId="0" applyFont="1" applyBorder="1"/>
    <xf numFmtId="0" fontId="38" fillId="0" borderId="33" xfId="0" applyFont="1" applyBorder="1"/>
    <xf numFmtId="165" fontId="39" fillId="0" borderId="34" xfId="0" applyNumberFormat="1" applyFont="1" applyBorder="1"/>
    <xf numFmtId="0" fontId="40" fillId="0" borderId="35" xfId="0" applyFont="1" applyBorder="1"/>
    <xf numFmtId="166" fontId="41" fillId="0" borderId="0" xfId="0" applyNumberFormat="1" applyFont="1"/>
    <xf numFmtId="0" fontId="42" fillId="0" borderId="0" xfId="0" applyFont="1" applyAlignment="1">
      <alignment horizontal="right" vertical="center"/>
    </xf>
    <xf numFmtId="0" fontId="43" fillId="0" borderId="36" xfId="0" applyFont="1" applyBorder="1"/>
    <xf numFmtId="164" fontId="44" fillId="0" borderId="37" xfId="0" applyNumberFormat="1" applyFont="1" applyBorder="1"/>
    <xf numFmtId="164" fontId="45" fillId="0" borderId="38" xfId="0" applyNumberFormat="1" applyFont="1" applyBorder="1" applyAlignment="1">
      <alignment horizontal="right" vertical="center"/>
    </xf>
    <xf numFmtId="0" fontId="46" fillId="0" borderId="0" xfId="0" applyFont="1"/>
    <xf numFmtId="167" fontId="47" fillId="0" borderId="0" xfId="0" applyNumberFormat="1" applyFont="1"/>
    <xf numFmtId="0" fontId="46" fillId="0" borderId="34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workbookViewId="0"/>
  </sheetViews>
  <sheetFormatPr baseColWidth="10" defaultColWidth="12.109375" defaultRowHeight="14.25" customHeight="1"/>
  <cols>
    <col min="7" max="8" width="17.33203125" customWidth="1"/>
    <col min="10" max="10" width="15.5546875" customWidth="1"/>
    <col min="11" max="11" width="22.6640625" customWidth="1"/>
    <col min="13" max="14" width="18.5546875" customWidth="1"/>
    <col min="15" max="15" width="21.33203125" customWidth="1"/>
  </cols>
  <sheetData>
    <row r="1" spans="1:15" ht="14.4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ht="14.4">
      <c r="A2" s="10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14.4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14.4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15" customHeight="1">
      <c r="A5" s="10" t="s">
        <v>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30"/>
      <c r="M5" s="6"/>
      <c r="N5" s="6"/>
      <c r="O5" s="6"/>
    </row>
    <row r="6" spans="1:15" ht="15" customHeight="1">
      <c r="A6" s="46"/>
      <c r="B6" s="46"/>
      <c r="C6" s="46"/>
      <c r="D6" s="46"/>
      <c r="E6" s="46"/>
      <c r="F6" s="46"/>
      <c r="G6" s="46"/>
      <c r="H6" s="46"/>
      <c r="I6" s="30"/>
      <c r="J6" s="30"/>
      <c r="K6" s="8"/>
      <c r="L6" s="40" t="s">
        <v>4</v>
      </c>
      <c r="M6" s="2" t="s">
        <v>5</v>
      </c>
      <c r="N6" s="34" t="s">
        <v>6</v>
      </c>
      <c r="O6" s="34" t="s">
        <v>7</v>
      </c>
    </row>
    <row r="7" spans="1:15" ht="15" customHeight="1">
      <c r="A7" s="10" t="s">
        <v>8</v>
      </c>
      <c r="B7" s="46"/>
      <c r="C7" s="46"/>
      <c r="D7" s="46"/>
      <c r="E7" s="46"/>
      <c r="F7" s="46"/>
      <c r="G7" s="46"/>
      <c r="H7" s="28" t="s">
        <v>2</v>
      </c>
      <c r="I7" s="43" t="s">
        <v>9</v>
      </c>
      <c r="J7" s="26" t="s">
        <v>5</v>
      </c>
      <c r="K7" s="2" t="s">
        <v>10</v>
      </c>
      <c r="L7" s="38">
        <f>IF((J$7="Attaque"),VALUE(Data!L36),VALUE(Data!L53))</f>
        <v>309976872</v>
      </c>
      <c r="M7" s="27">
        <f>$L7*'Résumés Armées'!C2</f>
        <v>929930616</v>
      </c>
      <c r="N7" s="27">
        <f>$L7*'Résumés Armées'!D2</f>
        <v>619953744</v>
      </c>
      <c r="O7" s="27">
        <f>$L7*'Résumés Armées'!E2</f>
        <v>2479814976</v>
      </c>
    </row>
    <row r="8" spans="1:15" ht="14.4">
      <c r="A8" s="10" t="s">
        <v>11</v>
      </c>
      <c r="B8" s="46"/>
      <c r="C8" s="46"/>
      <c r="D8" s="46"/>
      <c r="E8" s="46"/>
      <c r="F8" s="46"/>
      <c r="G8" s="46"/>
      <c r="H8" s="46" t="s">
        <v>2</v>
      </c>
      <c r="I8" s="25"/>
      <c r="J8" s="31"/>
      <c r="K8" s="34" t="s">
        <v>12</v>
      </c>
      <c r="L8" s="34">
        <f>IF((J$7="Attaque"),VALUE(Data!L37),VALUE(Data!L54))</f>
        <v>763346</v>
      </c>
      <c r="M8" s="27">
        <f>$L8*'Résumés Armées'!C3</f>
        <v>3816730</v>
      </c>
      <c r="N8" s="27">
        <f>$L8*'Résumés Armées'!D3</f>
        <v>3053384</v>
      </c>
      <c r="O8" s="27">
        <f>$L8*'Résumés Armées'!E3</f>
        <v>7633460</v>
      </c>
    </row>
    <row r="9" spans="1:15" ht="14.4">
      <c r="A9" s="46"/>
      <c r="B9" s="46"/>
      <c r="C9" s="46"/>
      <c r="D9" s="46"/>
      <c r="E9" s="46"/>
      <c r="F9" s="46"/>
      <c r="G9" s="46"/>
      <c r="H9" s="12" t="s">
        <v>2</v>
      </c>
      <c r="I9" s="34" t="s">
        <v>13</v>
      </c>
      <c r="J9" s="11"/>
      <c r="K9" s="34" t="s">
        <v>14</v>
      </c>
      <c r="L9" s="34">
        <f>IF((J$7="Attaque"),VALUE(Data!L38),VALUE(Data!L55))</f>
        <v>0</v>
      </c>
      <c r="M9" s="27">
        <f>$L9*'Résumés Armées'!C4</f>
        <v>0</v>
      </c>
      <c r="N9" s="27">
        <f>$L9*'Résumés Armées'!D4</f>
        <v>0</v>
      </c>
      <c r="O9" s="27">
        <f>$L9*'Résumés Armées'!E4</f>
        <v>0</v>
      </c>
    </row>
    <row r="10" spans="1:15" ht="14.4">
      <c r="A10" s="10" t="s">
        <v>15</v>
      </c>
      <c r="B10" s="46"/>
      <c r="C10" s="46"/>
      <c r="D10" s="46"/>
      <c r="E10" s="46"/>
      <c r="F10" s="46"/>
      <c r="G10" s="46"/>
      <c r="H10" s="12" t="s">
        <v>2</v>
      </c>
      <c r="I10" s="34">
        <v>21</v>
      </c>
      <c r="J10" s="11"/>
      <c r="K10" s="34" t="s">
        <v>16</v>
      </c>
      <c r="L10" s="34">
        <f>IF((J$7="Attaque"),VALUE(Data!L39),VALUE(Data!L56))</f>
        <v>0</v>
      </c>
      <c r="M10" s="27">
        <f>$L10*'Résumés Armées'!C5</f>
        <v>0</v>
      </c>
      <c r="N10" s="27">
        <f>$L10*'Résumés Armées'!D5</f>
        <v>0</v>
      </c>
      <c r="O10" s="27">
        <f>$L10*'Résumés Armées'!E5</f>
        <v>0</v>
      </c>
    </row>
    <row r="11" spans="1:15" ht="14.4">
      <c r="A11" s="10" t="s">
        <v>17</v>
      </c>
      <c r="B11" s="46"/>
      <c r="C11" s="46"/>
      <c r="D11" s="46"/>
      <c r="E11" s="46"/>
      <c r="F11" s="46"/>
      <c r="G11" s="46"/>
      <c r="H11" s="12" t="s">
        <v>2</v>
      </c>
      <c r="I11" s="34" t="s">
        <v>18</v>
      </c>
      <c r="J11" s="11"/>
      <c r="K11" s="34" t="s">
        <v>19</v>
      </c>
      <c r="L11" s="34">
        <f>IF((J$7="Attaque"),VALUE(Data!L40),VALUE(Data!L57))</f>
        <v>0</v>
      </c>
      <c r="M11" s="27">
        <f>$L11*'Résumés Armées'!C6</f>
        <v>0</v>
      </c>
      <c r="N11" s="27">
        <f>$L11*'Résumés Armées'!D6</f>
        <v>0</v>
      </c>
      <c r="O11" s="27">
        <f>$L11*'Résumés Armées'!E6</f>
        <v>0</v>
      </c>
    </row>
    <row r="12" spans="1:15" ht="14.4">
      <c r="A12" s="46"/>
      <c r="B12" s="46"/>
      <c r="C12" s="46"/>
      <c r="D12" s="46"/>
      <c r="E12" s="46"/>
      <c r="F12" s="46"/>
      <c r="G12" s="46"/>
      <c r="H12" s="12" t="s">
        <v>2</v>
      </c>
      <c r="I12" s="34">
        <v>20</v>
      </c>
      <c r="J12" s="11"/>
      <c r="K12" s="34" t="s">
        <v>20</v>
      </c>
      <c r="L12" s="34">
        <f>IF((J$7="Attaque"),VALUE(Data!L41),VALUE(Data!L58))</f>
        <v>3000</v>
      </c>
      <c r="M12" s="27">
        <f>$L12*'Résumés Armées'!C7</f>
        <v>3000</v>
      </c>
      <c r="N12" s="27">
        <f>$L12*'Résumés Armées'!D7</f>
        <v>75000</v>
      </c>
      <c r="O12" s="27">
        <f>$L12*'Résumés Armées'!E7</f>
        <v>90000</v>
      </c>
    </row>
    <row r="13" spans="1:15" ht="14.4">
      <c r="A13" s="10" t="s">
        <v>21</v>
      </c>
      <c r="B13" s="46"/>
      <c r="C13" s="46"/>
      <c r="D13" s="46"/>
      <c r="E13" s="46"/>
      <c r="F13" s="46"/>
      <c r="G13" s="46"/>
      <c r="H13" s="12" t="s">
        <v>2</v>
      </c>
      <c r="I13" s="34" t="s">
        <v>22</v>
      </c>
      <c r="J13" s="11"/>
      <c r="K13" s="34" t="s">
        <v>23</v>
      </c>
      <c r="L13" s="34">
        <f>IF((J$7="Attaque"),VALUE(Data!L42),VALUE(Data!L59))</f>
        <v>0</v>
      </c>
      <c r="M13" s="27">
        <f>$L13*'Résumés Armées'!C8</f>
        <v>0</v>
      </c>
      <c r="N13" s="27">
        <f>$L13*'Résumés Armées'!D8</f>
        <v>0</v>
      </c>
      <c r="O13" s="27">
        <f>$L13*'Résumés Armées'!E8</f>
        <v>0</v>
      </c>
    </row>
    <row r="14" spans="1:15" ht="14.4">
      <c r="A14" s="10" t="s">
        <v>24</v>
      </c>
      <c r="B14" s="46"/>
      <c r="C14" s="46"/>
      <c r="D14" s="46"/>
      <c r="E14" s="46"/>
      <c r="F14" s="46"/>
      <c r="G14" s="46"/>
      <c r="H14" s="12" t="s">
        <v>2</v>
      </c>
      <c r="I14" s="34">
        <v>21</v>
      </c>
      <c r="J14" s="11"/>
      <c r="K14" s="34" t="s">
        <v>25</v>
      </c>
      <c r="L14" s="34">
        <f>IF((J$7="Attaque"),VALUE(Data!L43),VALUE(Data!L60))</f>
        <v>0</v>
      </c>
      <c r="M14" s="27">
        <f>$L14*'Résumés Armées'!C9</f>
        <v>0</v>
      </c>
      <c r="N14" s="27">
        <f>$L14*'Résumés Armées'!D9</f>
        <v>0</v>
      </c>
      <c r="O14" s="27">
        <f>$L14*'Résumés Armées'!E9</f>
        <v>0</v>
      </c>
    </row>
    <row r="15" spans="1:15" ht="14.4">
      <c r="A15" s="20" t="s">
        <v>26</v>
      </c>
      <c r="B15" s="46"/>
      <c r="C15" s="46"/>
      <c r="D15" s="46"/>
      <c r="E15" s="46"/>
      <c r="F15" s="46"/>
      <c r="G15" s="46"/>
      <c r="H15" s="12" t="s">
        <v>2</v>
      </c>
      <c r="I15" s="34" t="s">
        <v>27</v>
      </c>
      <c r="J15" s="11"/>
      <c r="K15" s="34" t="s">
        <v>28</v>
      </c>
      <c r="L15" s="34">
        <f>IF((J$7="Attaque"),VALUE(Data!L44),VALUE(Data!L61))</f>
        <v>100000</v>
      </c>
      <c r="M15" s="27">
        <f>$L15*'Résumés Armées'!C10</f>
        <v>3500000</v>
      </c>
      <c r="N15" s="27">
        <f>$L15*'Résumés Armées'!D10</f>
        <v>1800000</v>
      </c>
      <c r="O15" s="27">
        <f>$L15*'Résumés Armées'!E10</f>
        <v>1200000</v>
      </c>
    </row>
    <row r="16" spans="1:15" ht="14.4">
      <c r="A16" s="46"/>
      <c r="B16" s="46"/>
      <c r="C16" s="46"/>
      <c r="D16" s="46"/>
      <c r="E16" s="46"/>
      <c r="F16" s="46"/>
      <c r="G16" s="46"/>
      <c r="H16" s="12"/>
      <c r="I16" s="34">
        <v>22</v>
      </c>
      <c r="J16" s="11"/>
      <c r="K16" s="34" t="s">
        <v>29</v>
      </c>
      <c r="L16" s="34">
        <f>IF((J$7="Attaque"),VALUE(Data!L45),VALUE(Data!L62))</f>
        <v>0</v>
      </c>
      <c r="M16" s="27">
        <f>$L16*'Résumés Armées'!C11</f>
        <v>0</v>
      </c>
      <c r="N16" s="27">
        <f>$L16*'Résumés Armées'!D11</f>
        <v>0</v>
      </c>
      <c r="O16" s="27">
        <f>$L16*'Résumés Armées'!E11</f>
        <v>0</v>
      </c>
    </row>
    <row r="17" spans="1:15" ht="14.4">
      <c r="A17" s="46"/>
      <c r="B17" s="46"/>
      <c r="C17" s="46"/>
      <c r="D17" s="46"/>
      <c r="E17" s="46"/>
      <c r="F17" s="46"/>
      <c r="G17" s="46"/>
      <c r="H17" s="12"/>
      <c r="I17" s="34" t="s">
        <v>30</v>
      </c>
      <c r="J17" s="11"/>
      <c r="K17" s="34" t="s">
        <v>31</v>
      </c>
      <c r="L17" s="34">
        <f>IF((J$7="Attaque"),VALUE(Data!L46),VALUE(Data!L63))</f>
        <v>13371657</v>
      </c>
      <c r="M17" s="27">
        <f>$L17*'Résumés Armées'!C12</f>
        <v>735441135</v>
      </c>
      <c r="N17" s="27">
        <f>$L17*'Résumés Armées'!D12</f>
        <v>13371657</v>
      </c>
      <c r="O17" s="27">
        <f>$L17*'Résumés Armées'!E12</f>
        <v>468007995</v>
      </c>
    </row>
    <row r="18" spans="1:15" ht="14.4">
      <c r="A18" s="46"/>
      <c r="B18" s="46"/>
      <c r="C18" s="46"/>
      <c r="D18" s="46"/>
      <c r="E18" s="46"/>
      <c r="F18" s="46"/>
      <c r="G18" s="46"/>
      <c r="H18" s="12"/>
      <c r="I18" s="34">
        <v>7</v>
      </c>
      <c r="J18" s="11"/>
      <c r="K18" s="34" t="s">
        <v>32</v>
      </c>
      <c r="L18" s="34">
        <f>IF((J$7="Attaque"),VALUE(Data!L47),VALUE(Data!L64))</f>
        <v>18013</v>
      </c>
      <c r="M18" s="27">
        <f>$L18*'Résumés Armées'!C13</f>
        <v>1441040</v>
      </c>
      <c r="N18" s="27">
        <f>$L18*'Résumés Armées'!D13</f>
        <v>18013</v>
      </c>
      <c r="O18" s="27">
        <f>$L18*'Résumés Armées'!E13</f>
        <v>900650</v>
      </c>
    </row>
    <row r="19" spans="1:15" ht="14.4">
      <c r="A19" s="46"/>
      <c r="B19" s="46"/>
      <c r="C19" s="46"/>
      <c r="D19" s="46"/>
      <c r="E19" s="46"/>
      <c r="F19" s="46"/>
      <c r="G19" s="46"/>
      <c r="H19" s="46"/>
      <c r="I19" s="35"/>
      <c r="J19" s="12"/>
      <c r="K19" s="34" t="s">
        <v>33</v>
      </c>
      <c r="L19" s="34">
        <f>IF((J$7="Attaque"),VALUE(Data!L48),VALUE(Data!L65))</f>
        <v>13160326</v>
      </c>
      <c r="M19" s="27">
        <f>$L19*'Résumés Armées'!C14</f>
        <v>658016300</v>
      </c>
      <c r="N19" s="27">
        <f>$L19*'Résumés Armées'!D14</f>
        <v>658016300</v>
      </c>
      <c r="O19" s="27">
        <f>$L19*'Résumés Armées'!E14</f>
        <v>658016300</v>
      </c>
    </row>
    <row r="20" spans="1:15" ht="14.4">
      <c r="A20" s="46"/>
      <c r="B20" s="46"/>
      <c r="C20" s="46"/>
      <c r="D20" s="46"/>
      <c r="E20" s="46"/>
      <c r="F20" s="46"/>
      <c r="G20" s="46"/>
      <c r="H20" s="46"/>
      <c r="I20" s="46"/>
      <c r="J20" s="12"/>
      <c r="K20" s="34" t="s">
        <v>34</v>
      </c>
      <c r="L20" s="34">
        <f>IF((J$7="Attaque"),VALUE(Data!L49),VALUE(Data!L66))</f>
        <v>22369</v>
      </c>
      <c r="M20" s="27">
        <f>$L20*'Résumés Armées'!C15</f>
        <v>1230295</v>
      </c>
      <c r="N20" s="27">
        <f>$L20*'Résumés Armées'!D15</f>
        <v>1230295</v>
      </c>
      <c r="O20" s="27">
        <f>$L20*'Résumés Armées'!E15</f>
        <v>1230295</v>
      </c>
    </row>
    <row r="21" spans="1:15" ht="14.4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37"/>
      <c r="L21" s="34" t="s">
        <v>35</v>
      </c>
      <c r="M21" s="27">
        <f>SUM(M7:M20)</f>
        <v>2333379116</v>
      </c>
      <c r="N21" s="27">
        <f>SUM(N7:N20)</f>
        <v>1297518393</v>
      </c>
      <c r="O21" s="27">
        <f>SUM(O7:O20)</f>
        <v>3616893676</v>
      </c>
    </row>
    <row r="22" spans="1:15" ht="14.4">
      <c r="A22" s="46"/>
      <c r="B22" s="46"/>
      <c r="C22" s="46"/>
      <c r="D22" s="46"/>
      <c r="E22" s="46"/>
      <c r="F22" s="46"/>
      <c r="G22" s="46"/>
      <c r="H22" s="46"/>
      <c r="I22" s="46"/>
      <c r="J22" s="6"/>
      <c r="K22" s="21"/>
      <c r="L22" s="34" t="s">
        <v>36</v>
      </c>
      <c r="M22" s="27">
        <f>(M21*I10)/10</f>
        <v>4900096143.6000004</v>
      </c>
      <c r="N22" s="27">
        <f>(N21*I10)/10</f>
        <v>2724788625.3000002</v>
      </c>
      <c r="O22" s="27">
        <f>(O21*I12)/10</f>
        <v>7233787352</v>
      </c>
    </row>
    <row r="23" spans="1:15" ht="14.4">
      <c r="A23" s="46"/>
      <c r="B23" s="46"/>
      <c r="C23" s="46"/>
      <c r="D23" s="46"/>
      <c r="E23" s="46"/>
      <c r="F23" s="46"/>
      <c r="G23" s="46"/>
      <c r="H23" s="46"/>
      <c r="I23" s="12"/>
      <c r="J23" s="34" t="s">
        <v>37</v>
      </c>
      <c r="K23" s="13">
        <f>(((((((L8+L9)+L11)+L13)+L15)+L16)+L18)+L20)/SUM(L7:L20)</f>
        <v>2.6783825215328009E-3</v>
      </c>
      <c r="L23" s="34" t="s">
        <v>38</v>
      </c>
      <c r="M23" s="27">
        <f>M21+M22</f>
        <v>7233475259.6000004</v>
      </c>
      <c r="N23" s="27">
        <f>N21+N22</f>
        <v>4022307018.3000002</v>
      </c>
      <c r="O23" s="27">
        <f>O21+O22</f>
        <v>10850681028</v>
      </c>
    </row>
    <row r="24" spans="1:15" ht="14.4">
      <c r="A24" s="46"/>
      <c r="B24" s="46"/>
      <c r="C24" s="46"/>
      <c r="D24" s="46"/>
      <c r="E24" s="46"/>
      <c r="F24" s="46"/>
      <c r="G24" s="29"/>
      <c r="H24" s="29"/>
      <c r="I24" s="46"/>
      <c r="J24" s="35"/>
      <c r="K24" s="9" t="str">
        <f>IF((K23&lt;0.01),"↑ LoL xD","")</f>
        <v>↑ LoL xD</v>
      </c>
      <c r="L24" s="35"/>
      <c r="M24" s="37"/>
      <c r="N24" s="34" t="s">
        <v>22</v>
      </c>
      <c r="O24" s="27">
        <f>(O22+((0.1+(0.05*I14))*O21))+O21</f>
        <v>15010108755.400002</v>
      </c>
    </row>
    <row r="25" spans="1:15" ht="14.4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12"/>
      <c r="N25" s="34" t="s">
        <v>27</v>
      </c>
      <c r="O25" s="27">
        <f>(O22+((0.3+(0.15*I16))*O21))+O21</f>
        <v>23871498261.599998</v>
      </c>
    </row>
    <row r="26" spans="1:15" ht="14.4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35"/>
      <c r="O26" s="44"/>
    </row>
    <row r="27" spans="1:15" ht="14.4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29"/>
    </row>
    <row r="28" spans="1:15" ht="14.4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7"/>
      <c r="M28" s="46"/>
      <c r="N28" s="29"/>
      <c r="O28" s="29"/>
    </row>
    <row r="29" spans="1:15" ht="14.4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29"/>
    </row>
    <row r="30" spans="1:15" ht="14.4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29"/>
      <c r="N30" s="46"/>
      <c r="O30" s="46"/>
    </row>
  </sheetData>
  <dataValidations count="1">
    <dataValidation type="list" allowBlank="1" showErrorMessage="1" sqref="J7">
      <formula1>"Attaque, Défense"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5"/>
  <sheetViews>
    <sheetView workbookViewId="0"/>
  </sheetViews>
  <sheetFormatPr baseColWidth="10" defaultColWidth="12.109375" defaultRowHeight="14.25" customHeight="1"/>
  <cols>
    <col min="10" max="10" width="22.6640625" customWidth="1"/>
    <col min="11" max="11" width="18.5546875" customWidth="1"/>
    <col min="12" max="12" width="17.33203125" customWidth="1"/>
    <col min="13" max="13" width="21.33203125" customWidth="1"/>
  </cols>
  <sheetData>
    <row r="1" spans="1:13">
      <c r="A1" s="46" t="s">
        <v>0</v>
      </c>
      <c r="B1" s="46"/>
      <c r="C1" s="46"/>
      <c r="D1" s="46"/>
      <c r="E1" s="46"/>
      <c r="F1" s="46"/>
      <c r="G1" s="46"/>
      <c r="H1" s="46" t="s">
        <v>2</v>
      </c>
      <c r="I1" s="46"/>
      <c r="J1" s="46"/>
      <c r="K1" s="46"/>
      <c r="L1" s="46"/>
      <c r="M1" s="46"/>
    </row>
    <row r="2" spans="1:13">
      <c r="A2" s="10" t="s">
        <v>39</v>
      </c>
      <c r="B2" s="46"/>
      <c r="C2" s="46"/>
      <c r="D2" s="46"/>
      <c r="E2" s="46"/>
      <c r="F2" s="46"/>
      <c r="G2" s="46"/>
      <c r="H2" s="46" t="s">
        <v>2</v>
      </c>
      <c r="I2" s="46"/>
      <c r="J2" s="46"/>
      <c r="K2" s="46"/>
      <c r="L2" s="46"/>
      <c r="M2" s="46"/>
    </row>
    <row r="3" spans="1:13">
      <c r="A3" s="46"/>
      <c r="B3" s="46"/>
      <c r="C3" s="46"/>
      <c r="D3" s="46"/>
      <c r="E3" s="46"/>
      <c r="F3" s="46"/>
      <c r="G3" s="46"/>
      <c r="H3" s="46" t="s">
        <v>2</v>
      </c>
      <c r="I3" s="6"/>
      <c r="J3" s="6"/>
      <c r="K3" s="6"/>
      <c r="L3" s="6"/>
      <c r="M3" s="6"/>
    </row>
    <row r="4" spans="1:13">
      <c r="A4" s="46"/>
      <c r="B4" s="46"/>
      <c r="C4" s="46"/>
      <c r="D4" s="46"/>
      <c r="E4" s="46"/>
      <c r="F4" s="46"/>
      <c r="G4" s="46"/>
      <c r="H4" s="12" t="s">
        <v>2</v>
      </c>
      <c r="I4" s="34" t="s">
        <v>40</v>
      </c>
      <c r="J4" s="34" t="s">
        <v>41</v>
      </c>
      <c r="K4" s="34" t="s">
        <v>5</v>
      </c>
      <c r="L4" s="34" t="s">
        <v>42</v>
      </c>
      <c r="M4" s="34" t="str">
        <f>CONCATENATE("OS"," ",I5)</f>
        <v>OS Loge</v>
      </c>
    </row>
    <row r="5" spans="1:13">
      <c r="A5" s="10" t="s">
        <v>43</v>
      </c>
      <c r="B5" s="46"/>
      <c r="C5" s="46"/>
      <c r="D5" s="46"/>
      <c r="E5" s="46"/>
      <c r="F5" s="46"/>
      <c r="G5" s="46"/>
      <c r="H5" s="12" t="s">
        <v>2</v>
      </c>
      <c r="I5" s="34" t="str">
        <f>IF(ISERROR(SEARCH("Loge",A5)),"Dôme","Loge")</f>
        <v>Loge</v>
      </c>
      <c r="J5" s="34" t="str">
        <f>IF((I5="Loge"),RIGHT(A5,(LEN(A5)-35)),RIGHT(A5,(LEN(A5)-32)))</f>
        <v>Arakas</v>
      </c>
      <c r="K5" s="27">
        <f>'Résumés Armées'!K19</f>
        <v>2280966</v>
      </c>
      <c r="L5" s="27">
        <f>'Résumés Armées'!K24</f>
        <v>1520644</v>
      </c>
      <c r="M5" s="27">
        <f>'Résumés Armées'!K32</f>
        <v>43648114.814814813</v>
      </c>
    </row>
    <row r="6" spans="1:13">
      <c r="A6" s="46"/>
      <c r="B6" s="46"/>
      <c r="C6" s="46"/>
      <c r="D6" s="46"/>
      <c r="E6" s="46"/>
      <c r="F6" s="46"/>
      <c r="G6" s="46"/>
      <c r="H6" s="12" t="s">
        <v>2</v>
      </c>
      <c r="I6" s="34" t="s">
        <v>13</v>
      </c>
      <c r="J6" s="34" t="s">
        <v>44</v>
      </c>
      <c r="K6" s="27">
        <f>'Résumés Armées'!K20</f>
        <v>5018125.2</v>
      </c>
      <c r="L6" s="27">
        <f>'Résumés Armées'!K25</f>
        <v>3345416.8</v>
      </c>
      <c r="M6" s="27" t="str">
        <f>IF(('Calculs OS'!N31&gt;0),"Deux tours ou plus","OS possible")</f>
        <v>OS possible</v>
      </c>
    </row>
    <row r="7" spans="1:13">
      <c r="A7" s="10" t="s">
        <v>45</v>
      </c>
      <c r="B7" s="46"/>
      <c r="C7" s="46"/>
      <c r="D7" s="46"/>
      <c r="E7" s="46"/>
      <c r="F7" s="46"/>
      <c r="G7" s="46"/>
      <c r="H7" s="12" t="s">
        <v>2</v>
      </c>
      <c r="I7" s="23">
        <f>'Résumés Armées'!F21</f>
        <v>22</v>
      </c>
      <c r="J7" s="24">
        <f>'Résumés Armées'!F23</f>
        <v>61.759259259259252</v>
      </c>
      <c r="K7" s="27">
        <f>'Résumés Armées'!K21</f>
        <v>7299091.2000000002</v>
      </c>
      <c r="L7" s="27">
        <f>'Résumés Armées'!K26</f>
        <v>4866060.8</v>
      </c>
      <c r="M7" s="27"/>
    </row>
    <row r="8" spans="1:13">
      <c r="A8" s="10" t="s">
        <v>46</v>
      </c>
      <c r="B8" s="46"/>
      <c r="C8" s="46"/>
      <c r="D8" s="46"/>
      <c r="E8" s="46"/>
      <c r="F8" s="46"/>
      <c r="G8" s="46"/>
      <c r="H8" s="46" t="s">
        <v>2</v>
      </c>
      <c r="I8" s="35"/>
      <c r="J8" s="35"/>
      <c r="K8" s="35"/>
      <c r="L8" s="35"/>
      <c r="M8" s="35"/>
    </row>
    <row r="9" spans="1:13">
      <c r="A9" s="46"/>
      <c r="B9" s="46"/>
      <c r="C9" s="46"/>
      <c r="D9" s="46"/>
      <c r="E9" s="46"/>
      <c r="F9" s="46"/>
      <c r="G9" s="46"/>
      <c r="H9" s="46" t="s">
        <v>2</v>
      </c>
      <c r="I9" s="46" t="s">
        <v>47</v>
      </c>
      <c r="J9" s="46"/>
      <c r="K9" s="46"/>
      <c r="L9" s="46"/>
      <c r="M9" s="46"/>
    </row>
    <row r="10" spans="1:13">
      <c r="A10" s="10" t="s">
        <v>48</v>
      </c>
      <c r="B10" s="46"/>
      <c r="C10" s="46"/>
      <c r="D10" s="46"/>
      <c r="E10" s="46"/>
      <c r="F10" s="46"/>
      <c r="G10" s="46"/>
      <c r="H10" s="46" t="s">
        <v>2</v>
      </c>
      <c r="I10" s="6" t="s">
        <v>49</v>
      </c>
      <c r="J10" s="6"/>
      <c r="K10" s="46"/>
      <c r="L10" s="46"/>
      <c r="M10" s="46"/>
    </row>
    <row r="11" spans="1:13">
      <c r="A11" s="10" t="s">
        <v>50</v>
      </c>
      <c r="B11" s="46"/>
      <c r="C11" s="46"/>
      <c r="D11" s="46"/>
      <c r="E11" s="46"/>
      <c r="F11" s="46"/>
      <c r="G11" s="46"/>
      <c r="H11" s="12" t="s">
        <v>2</v>
      </c>
      <c r="I11" s="34" t="s">
        <v>51</v>
      </c>
      <c r="J11" s="34" t="s">
        <v>52</v>
      </c>
      <c r="K11" s="7"/>
      <c r="L11" s="46"/>
      <c r="M11" s="46"/>
    </row>
    <row r="12" spans="1:13">
      <c r="A12" s="46"/>
      <c r="B12" s="46"/>
      <c r="C12" s="46"/>
      <c r="D12" s="46"/>
      <c r="E12" s="46"/>
      <c r="F12" s="46"/>
      <c r="G12" s="46"/>
      <c r="H12" s="12" t="s">
        <v>2</v>
      </c>
      <c r="I12" s="34">
        <v>0</v>
      </c>
      <c r="J12" s="34" t="s">
        <v>10</v>
      </c>
      <c r="K12" s="7" t="str">
        <f t="shared" ref="K12:K19" si="0">IF((I12=0),"",IF((COUNTIF($I$12:$I$19,I12)&gt;1),I$10,""))</f>
        <v/>
      </c>
      <c r="L12" s="46"/>
      <c r="M12" s="46"/>
    </row>
    <row r="13" spans="1:13">
      <c r="A13" s="10" t="s">
        <v>53</v>
      </c>
      <c r="B13" s="46"/>
      <c r="C13" s="46"/>
      <c r="D13" s="46"/>
      <c r="E13" s="46"/>
      <c r="F13" s="46"/>
      <c r="G13" s="46"/>
      <c r="H13" s="12" t="s">
        <v>2</v>
      </c>
      <c r="I13" s="34">
        <v>0</v>
      </c>
      <c r="J13" s="34" t="s">
        <v>12</v>
      </c>
      <c r="K13" s="7" t="str">
        <f t="shared" si="0"/>
        <v/>
      </c>
      <c r="L13" s="46"/>
      <c r="M13" s="46"/>
    </row>
    <row r="14" spans="1:13">
      <c r="A14" s="20" t="s">
        <v>54</v>
      </c>
      <c r="B14" s="46"/>
      <c r="C14" s="46"/>
      <c r="D14" s="46"/>
      <c r="E14" s="46"/>
      <c r="F14" s="46"/>
      <c r="G14" s="46"/>
      <c r="H14" s="12" t="s">
        <v>2</v>
      </c>
      <c r="I14" s="34">
        <v>0</v>
      </c>
      <c r="J14" s="34" t="s">
        <v>16</v>
      </c>
      <c r="K14" s="7" t="str">
        <f t="shared" si="0"/>
        <v/>
      </c>
      <c r="L14" s="46"/>
      <c r="M14" s="46"/>
    </row>
    <row r="15" spans="1:13">
      <c r="A15" s="10"/>
      <c r="B15" s="46"/>
      <c r="C15" s="46"/>
      <c r="D15" s="46"/>
      <c r="E15" s="46"/>
      <c r="F15" s="46"/>
      <c r="G15" s="46"/>
      <c r="H15" s="12" t="s">
        <v>2</v>
      </c>
      <c r="I15" s="34">
        <v>0</v>
      </c>
      <c r="J15" s="34" t="s">
        <v>19</v>
      </c>
      <c r="K15" s="7" t="str">
        <f t="shared" si="0"/>
        <v/>
      </c>
      <c r="L15" s="46"/>
      <c r="M15" s="46"/>
    </row>
    <row r="16" spans="1:13">
      <c r="A16" s="10"/>
      <c r="B16" s="46"/>
      <c r="C16" s="46"/>
      <c r="D16" s="46"/>
      <c r="E16" s="46"/>
      <c r="F16" s="46"/>
      <c r="G16" s="46"/>
      <c r="H16" s="12" t="s">
        <v>2</v>
      </c>
      <c r="I16" s="34">
        <v>0</v>
      </c>
      <c r="J16" s="34" t="s">
        <v>20</v>
      </c>
      <c r="K16" s="7" t="str">
        <f t="shared" si="0"/>
        <v/>
      </c>
      <c r="L16" s="46"/>
      <c r="M16" s="46"/>
    </row>
    <row r="17" spans="1:13">
      <c r="A17" s="10"/>
      <c r="B17" s="46"/>
      <c r="C17" s="46"/>
      <c r="D17" s="46"/>
      <c r="E17" s="46"/>
      <c r="F17" s="46"/>
      <c r="G17" s="46"/>
      <c r="H17" s="12" t="s">
        <v>2</v>
      </c>
      <c r="I17" s="34">
        <v>0</v>
      </c>
      <c r="J17" s="34" t="s">
        <v>25</v>
      </c>
      <c r="K17" s="7" t="str">
        <f t="shared" si="0"/>
        <v/>
      </c>
      <c r="L17" s="46"/>
      <c r="M17" s="46"/>
    </row>
    <row r="18" spans="1:13">
      <c r="A18" s="10"/>
      <c r="B18" s="46"/>
      <c r="C18" s="46"/>
      <c r="D18" s="46"/>
      <c r="E18" s="46"/>
      <c r="F18" s="46"/>
      <c r="G18" s="46"/>
      <c r="H18" s="12" t="s">
        <v>2</v>
      </c>
      <c r="I18" s="34">
        <v>1</v>
      </c>
      <c r="J18" s="34" t="s">
        <v>31</v>
      </c>
      <c r="K18" s="7" t="str">
        <f t="shared" si="0"/>
        <v/>
      </c>
      <c r="L18" s="46"/>
      <c r="M18" s="46"/>
    </row>
    <row r="19" spans="1:13">
      <c r="A19" s="10"/>
      <c r="B19" s="46"/>
      <c r="C19" s="46"/>
      <c r="D19" s="46"/>
      <c r="E19" s="46"/>
      <c r="F19" s="46"/>
      <c r="G19" s="46"/>
      <c r="H19" s="12" t="s">
        <v>2</v>
      </c>
      <c r="I19" s="34">
        <v>0</v>
      </c>
      <c r="J19" s="34" t="s">
        <v>33</v>
      </c>
      <c r="K19" s="7" t="str">
        <f t="shared" si="0"/>
        <v/>
      </c>
      <c r="L19" s="46"/>
      <c r="M19" s="46"/>
    </row>
    <row r="20" spans="1:13">
      <c r="A20" s="46"/>
      <c r="B20" s="46"/>
      <c r="C20" s="46"/>
      <c r="D20" s="46"/>
      <c r="E20" s="46"/>
      <c r="F20" s="46"/>
      <c r="G20" s="46"/>
      <c r="H20" s="46" t="s">
        <v>2</v>
      </c>
      <c r="I20" s="35"/>
      <c r="J20" s="35"/>
      <c r="K20" s="46"/>
      <c r="L20" s="46"/>
      <c r="M20" s="46"/>
    </row>
    <row r="21" spans="1:13">
      <c r="A21" s="46"/>
      <c r="B21" s="46"/>
      <c r="C21" s="46"/>
      <c r="D21" s="46"/>
      <c r="E21" s="46"/>
      <c r="F21" s="46"/>
      <c r="G21" s="46"/>
      <c r="H21" s="46" t="s">
        <v>2</v>
      </c>
      <c r="I21" s="46"/>
      <c r="J21" s="46"/>
      <c r="K21" s="46"/>
      <c r="L21" s="46"/>
      <c r="M21" s="46"/>
    </row>
    <row r="22" spans="1:13">
      <c r="A22" s="46"/>
      <c r="B22" s="46"/>
      <c r="C22" s="46"/>
      <c r="D22" s="46"/>
      <c r="E22" s="46"/>
      <c r="F22" s="46"/>
      <c r="G22" s="46"/>
      <c r="H22" s="46" t="s">
        <v>2</v>
      </c>
      <c r="I22" s="46"/>
      <c r="J22" s="46"/>
      <c r="K22" s="46"/>
      <c r="L22" s="46"/>
      <c r="M22" s="46"/>
    </row>
    <row r="23" spans="1:13">
      <c r="A23" s="46"/>
      <c r="B23" s="46"/>
      <c r="C23" s="46"/>
      <c r="D23" s="46"/>
      <c r="E23" s="46"/>
      <c r="F23" s="46"/>
      <c r="G23" s="46"/>
      <c r="H23" s="46" t="s">
        <v>2</v>
      </c>
      <c r="I23" s="46"/>
      <c r="J23" s="46"/>
      <c r="K23" s="46"/>
      <c r="L23" s="46"/>
      <c r="M23" s="46"/>
    </row>
    <row r="24" spans="1:13">
      <c r="A24" s="46"/>
      <c r="B24" s="46"/>
      <c r="C24" s="46"/>
      <c r="D24" s="46"/>
      <c r="E24" s="46"/>
      <c r="F24" s="46"/>
      <c r="G24" s="46"/>
      <c r="H24" s="46" t="s">
        <v>2</v>
      </c>
      <c r="I24" s="46"/>
      <c r="J24" s="46"/>
      <c r="K24" s="46"/>
      <c r="L24" s="46"/>
      <c r="M24" s="46"/>
    </row>
    <row r="25" spans="1:13">
      <c r="A25" s="46"/>
      <c r="B25" s="46"/>
      <c r="C25" s="46"/>
      <c r="D25" s="46"/>
      <c r="E25" s="46"/>
      <c r="F25" s="46"/>
      <c r="G25" s="46"/>
      <c r="H25" s="46" t="s">
        <v>2</v>
      </c>
      <c r="I25" s="46"/>
      <c r="J25" s="46"/>
      <c r="K25" s="46"/>
      <c r="L25" s="46"/>
      <c r="M25" s="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66"/>
  <sheetViews>
    <sheetView topLeftCell="A22" workbookViewId="0">
      <selection activeCell="N40" sqref="N40"/>
    </sheetView>
  </sheetViews>
  <sheetFormatPr baseColWidth="10" defaultColWidth="12.109375" defaultRowHeight="14.25" customHeight="1"/>
  <sheetData>
    <row r="1" spans="1:18">
      <c r="A1" s="46" t="s">
        <v>55</v>
      </c>
      <c r="B1" s="46" t="s">
        <v>5</v>
      </c>
      <c r="C1" s="46" t="s">
        <v>6</v>
      </c>
      <c r="D1" s="46"/>
      <c r="E1" s="46" t="s">
        <v>55</v>
      </c>
      <c r="F1" s="46" t="s">
        <v>5</v>
      </c>
      <c r="G1" s="46" t="s">
        <v>6</v>
      </c>
      <c r="H1" s="46" t="s">
        <v>5</v>
      </c>
      <c r="I1" s="46" t="s">
        <v>55</v>
      </c>
      <c r="J1" s="46" t="s">
        <v>56</v>
      </c>
      <c r="K1" s="46" t="s">
        <v>57</v>
      </c>
      <c r="L1" s="46" t="s">
        <v>58</v>
      </c>
      <c r="M1" s="46" t="s">
        <v>59</v>
      </c>
      <c r="N1" s="46" t="s">
        <v>60</v>
      </c>
      <c r="O1" s="46"/>
      <c r="P1" s="46"/>
      <c r="Q1" s="46"/>
      <c r="R1" s="46"/>
    </row>
    <row r="2" spans="1:18">
      <c r="A2" s="46" t="s">
        <v>10</v>
      </c>
      <c r="B2" s="46" t="str">
        <f>IF((F2="Absence"),"Absence","Présence")</f>
        <v>Absence</v>
      </c>
      <c r="C2" s="46" t="str">
        <f>IF((G2="Absence"),"Absence","Présence")</f>
        <v>Présence</v>
      </c>
      <c r="D2" s="46"/>
      <c r="E2" s="46" t="s">
        <v>10</v>
      </c>
      <c r="F2" s="46" t="str">
        <f>IFERROR(SEARCH($E2,'Armée Ennemie'!$A$7),"Absence")</f>
        <v>Absence</v>
      </c>
      <c r="G2" s="46">
        <f>IFERROR(SEARCH($E2,'Armée Ennemie'!$A$8),"Absence")</f>
        <v>28</v>
      </c>
      <c r="H2" s="46"/>
      <c r="I2" s="46" t="s">
        <v>10</v>
      </c>
      <c r="J2" s="46">
        <f>SEARCH(":",'Armée Ennemie'!A7)</f>
        <v>19</v>
      </c>
      <c r="K2" s="46">
        <f>IF(ISERROR(SEARCH(I2,'Armée Ennemie'!$A$7)),J2,SEARCH(I2,'Armée Ennemie'!$A$7))</f>
        <v>19</v>
      </c>
      <c r="L2" s="46">
        <f>IFERROR(MID('Armée Ennemie'!$A$7,(Data!J2+1),((Data!K2-Data!J2)-2)),0)</f>
        <v>0</v>
      </c>
      <c r="M2" s="46" t="str">
        <f>IF((L2&lt;&gt;0),I2,":")</f>
        <v>:</v>
      </c>
      <c r="N2" s="46">
        <f>IFERROR(SEARCH(I2,'Armée Ennemie'!$A$7),0)</f>
        <v>0</v>
      </c>
      <c r="O2" s="46"/>
      <c r="P2" s="46"/>
      <c r="Q2" s="46"/>
      <c r="R2" s="46"/>
    </row>
    <row r="3" spans="1:18">
      <c r="A3" s="46" t="s">
        <v>12</v>
      </c>
      <c r="B3" s="46" t="str">
        <f t="shared" ref="B3:B15" si="0">IF((F3=F2),"Absence","Présence")</f>
        <v>Absence</v>
      </c>
      <c r="C3" s="46" t="str">
        <f t="shared" ref="C3:C15" si="1">IF((G3=G2),"Absence","Présence")</f>
        <v>Absence</v>
      </c>
      <c r="D3" s="46"/>
      <c r="E3" s="46" t="s">
        <v>12</v>
      </c>
      <c r="F3" s="46" t="str">
        <f>IFERROR(SEARCH($E3,'Armée Ennemie'!$A$7,(LEN(E2)+F2)),F2)</f>
        <v>Absence</v>
      </c>
      <c r="G3" s="46">
        <f>IFERROR(SEARCH($E3,'Armée Ennemie'!$A$8,(LEN(E2)+G2)),G2)</f>
        <v>28</v>
      </c>
      <c r="H3" s="46"/>
      <c r="I3" s="46" t="s">
        <v>12</v>
      </c>
      <c r="J3" s="46">
        <f t="shared" ref="J3:J15" si="2">K2</f>
        <v>19</v>
      </c>
      <c r="K3" s="46">
        <f>IF(ISERROR(SEARCH(I3,'Armée Ennemie'!$A$7,(J3+LEN(M2)))),J3,SEARCH(I3,'Armée Ennemie'!$A$7,(J3+LEN(M2))))</f>
        <v>19</v>
      </c>
      <c r="L3" s="46">
        <f>IFERROR(MID('Armée Ennemie'!$A$7,(((Data!J3+2)+LEN(M2))-IF((M2=":"),2,0)),((((Data!K3-Data!J3)-3)+IF((M2=":"),2,0))-LEN(M2))),0)</f>
        <v>0</v>
      </c>
      <c r="M3" s="46" t="str">
        <f t="shared" ref="M3:M15" si="3">IF((L3&lt;&gt;0),I3,M2)</f>
        <v>:</v>
      </c>
      <c r="N3" s="46">
        <f>IFERROR(SEARCH(I3,'Armée Ennemie'!$A$7),0)</f>
        <v>0</v>
      </c>
      <c r="O3" s="46"/>
      <c r="P3" s="46"/>
      <c r="Q3" s="46"/>
      <c r="R3" s="46"/>
    </row>
    <row r="4" spans="1:18">
      <c r="A4" s="46" t="s">
        <v>14</v>
      </c>
      <c r="B4" s="46" t="str">
        <f t="shared" si="0"/>
        <v>Absence</v>
      </c>
      <c r="C4" s="46" t="str">
        <f t="shared" si="1"/>
        <v>Absence</v>
      </c>
      <c r="D4" s="46"/>
      <c r="E4" s="46" t="s">
        <v>14</v>
      </c>
      <c r="F4" s="46" t="str">
        <f>IFERROR(SEARCH($E4,'Armée Ennemie'!$A$7,(LEN(E3)+F3)),F3)</f>
        <v>Absence</v>
      </c>
      <c r="G4" s="46">
        <f>IFERROR(SEARCH($E4,'Armée Ennemie'!$A$8,(LEN(E3)+G3)),G3)</f>
        <v>28</v>
      </c>
      <c r="H4" s="46"/>
      <c r="I4" s="46" t="s">
        <v>14</v>
      </c>
      <c r="J4" s="46">
        <f t="shared" si="2"/>
        <v>19</v>
      </c>
      <c r="K4" s="46">
        <f>IF(ISERROR(SEARCH(I4,'Armée Ennemie'!$A$7,(J4+LEN(M3)))),J4,SEARCH(I4,'Armée Ennemie'!$A$7,(J4+LEN(M3))))</f>
        <v>19</v>
      </c>
      <c r="L4" s="46">
        <f>IFERROR(MID('Armée Ennemie'!$A$7,(((Data!J4+2)+LEN(M3))-IF((M3=":"),2,0)),((((Data!K4-Data!J4)-3)+IF((M3=":"),2,0))-LEN(M3))),0)</f>
        <v>0</v>
      </c>
      <c r="M4" s="46" t="str">
        <f t="shared" si="3"/>
        <v>:</v>
      </c>
      <c r="N4" s="46">
        <f>IFERROR(SEARCH(I4,'Armée Ennemie'!$A$7),0)</f>
        <v>0</v>
      </c>
      <c r="O4" s="46"/>
      <c r="P4" s="46"/>
      <c r="Q4" s="46"/>
      <c r="R4" s="46"/>
    </row>
    <row r="5" spans="1:18">
      <c r="A5" s="46" t="s">
        <v>16</v>
      </c>
      <c r="B5" s="46" t="str">
        <f t="shared" si="0"/>
        <v>Absence</v>
      </c>
      <c r="C5" s="46" t="str">
        <f t="shared" si="1"/>
        <v>Absence</v>
      </c>
      <c r="D5" s="46"/>
      <c r="E5" s="46" t="s">
        <v>16</v>
      </c>
      <c r="F5" s="46" t="str">
        <f>IFERROR(SEARCH($E5,'Armée Ennemie'!$A$7,(LEN(E4)+F4)),F4)</f>
        <v>Absence</v>
      </c>
      <c r="G5" s="46">
        <f>IFERROR(SEARCH($E5,'Armée Ennemie'!$A$8,(LEN(E4)+G4)),G4)</f>
        <v>28</v>
      </c>
      <c r="H5" s="46"/>
      <c r="I5" s="46" t="s">
        <v>16</v>
      </c>
      <c r="J5" s="46">
        <f t="shared" si="2"/>
        <v>19</v>
      </c>
      <c r="K5" s="46">
        <f>IF(ISERROR(SEARCH(I5,'Armée Ennemie'!$A$7,(J5+LEN(M4)))),J5,SEARCH(I5,'Armée Ennemie'!$A$7,(J5+LEN(M4))))</f>
        <v>24</v>
      </c>
      <c r="L5" s="46" t="str">
        <f>IFERROR(MID('Armée Ennemie'!$A$7,(((Data!J5+2)+LEN(M4))-IF((M4=":"),2,0)),((((Data!K5-Data!J5)-3)+IF((M4=":"),2,0))-LEN(M4))),0)</f>
        <v>100</v>
      </c>
      <c r="M5" s="46" t="str">
        <f t="shared" si="3"/>
        <v>Jeunes Soldates</v>
      </c>
      <c r="N5" s="46">
        <f>IFERROR(SEARCH(I5,'Armée Ennemie'!$A$7),0)</f>
        <v>24</v>
      </c>
      <c r="O5" s="46"/>
      <c r="P5" s="46"/>
      <c r="Q5" s="46"/>
      <c r="R5" s="46"/>
    </row>
    <row r="6" spans="1:18">
      <c r="A6" s="46" t="s">
        <v>19</v>
      </c>
      <c r="B6" s="46" t="str">
        <f t="shared" si="0"/>
        <v>Absence</v>
      </c>
      <c r="C6" s="46" t="str">
        <f t="shared" si="1"/>
        <v>Absence</v>
      </c>
      <c r="D6" s="46"/>
      <c r="E6" s="46" t="s">
        <v>19</v>
      </c>
      <c r="F6" s="46" t="str">
        <f>IFERROR(SEARCH($E6,'Armée Ennemie'!$A$7,(LEN(E5)+F5)),F5)</f>
        <v>Absence</v>
      </c>
      <c r="G6" s="46">
        <f>IFERROR(SEARCH($E6,'Armée Ennemie'!$A$8,(LEN(E5)+G5)),G5)</f>
        <v>28</v>
      </c>
      <c r="H6" s="46"/>
      <c r="I6" s="46" t="s">
        <v>19</v>
      </c>
      <c r="J6" s="46">
        <f t="shared" si="2"/>
        <v>24</v>
      </c>
      <c r="K6" s="46">
        <f>IF((N6=0),J6,IF(ISERROR(SEARCH(I6,'Armée Ennemie'!$A$7,(J6+LEN(M5)))),J6,SEARCH(I6,'Armée Ennemie'!$A$7,(J6+LEN(M5)))))</f>
        <v>24</v>
      </c>
      <c r="L6" s="46">
        <f>IFERROR(MID('Armée Ennemie'!$A$7,(((Data!J6+2)+LEN(M5))-IF((M5=":"),2,0)),((((Data!K6-Data!J6)-3)+IF((M5=":"),2,0))-LEN(M5))),0)</f>
        <v>0</v>
      </c>
      <c r="M6" s="46" t="str">
        <f t="shared" si="3"/>
        <v>Jeunes Soldates</v>
      </c>
      <c r="N6" s="46">
        <f>IF((IFERROR(SEARCH(I6,'Armée Ennemie'!$A$7),0)=N11),0,IFERROR(SEARCH(I6,'Armée Ennemie'!$A$7),0))</f>
        <v>31</v>
      </c>
      <c r="O6" s="46"/>
      <c r="P6" s="46"/>
      <c r="Q6" s="46"/>
      <c r="R6" s="46"/>
    </row>
    <row r="7" spans="1:18">
      <c r="A7" s="46" t="s">
        <v>20</v>
      </c>
      <c r="B7" s="46" t="str">
        <f t="shared" si="0"/>
        <v>Absence</v>
      </c>
      <c r="C7" s="46" t="str">
        <f t="shared" si="1"/>
        <v>Absence</v>
      </c>
      <c r="D7" s="46"/>
      <c r="E7" s="46" t="s">
        <v>20</v>
      </c>
      <c r="F7" s="46" t="str">
        <f>IFERROR(SEARCH($E7,'Armée Ennemie'!$A$7,(LEN(E6)+F6)),F6)</f>
        <v>Absence</v>
      </c>
      <c r="G7" s="46">
        <f>IFERROR(SEARCH($E7,'Armée Ennemie'!$A$8,(LEN(E6)+G6)),G6)</f>
        <v>28</v>
      </c>
      <c r="H7" s="46"/>
      <c r="I7" s="46" t="s">
        <v>20</v>
      </c>
      <c r="J7" s="46">
        <f t="shared" si="2"/>
        <v>24</v>
      </c>
      <c r="K7" s="46">
        <f>IF((N7=0),J7,IF(ISERROR(SEARCH(I7,'Armée Ennemie'!$A$7,(J7+LEN(M6)))),J7,SEARCH(I7,'Armée Ennemie'!$A$7,(J7+LEN(M6)))))</f>
        <v>24</v>
      </c>
      <c r="L7" s="46">
        <f>IFERROR(MID('Armée Ennemie'!$A$7,(((Data!J7+2)+LEN(M6))-IF((M6=":"),2,0)),((((Data!K7-Data!J7)-3)+IF((M6=":"),2,0))-LEN(M6))),0)</f>
        <v>0</v>
      </c>
      <c r="M7" s="46" t="str">
        <f t="shared" si="3"/>
        <v>Jeunes Soldates</v>
      </c>
      <c r="N7" s="46">
        <f>IF((IFERROR(SEARCH(I7,'Armée Ennemie'!$A$7),0)=N8),0,IFERROR(SEARCH(I7,'Armée Ennemie'!$A$7),0))</f>
        <v>0</v>
      </c>
      <c r="O7" s="46"/>
      <c r="P7" s="46"/>
      <c r="Q7" s="46"/>
      <c r="R7" s="46"/>
    </row>
    <row r="8" spans="1:18">
      <c r="A8" s="46" t="s">
        <v>23</v>
      </c>
      <c r="B8" s="46" t="str">
        <f t="shared" si="0"/>
        <v>Absence</v>
      </c>
      <c r="C8" s="46" t="str">
        <f t="shared" si="1"/>
        <v>Absence</v>
      </c>
      <c r="D8" s="46"/>
      <c r="E8" s="46" t="s">
        <v>23</v>
      </c>
      <c r="F8" s="46" t="str">
        <f>IFERROR(SEARCH($E8,'Armée Ennemie'!$A$7,(LEN(E7)+F7)),F7)</f>
        <v>Absence</v>
      </c>
      <c r="G8" s="46">
        <f>IFERROR(SEARCH($E8,'Armée Ennemie'!$A$8,(LEN(E7)+G7)),G7)</f>
        <v>28</v>
      </c>
      <c r="H8" s="46"/>
      <c r="I8" s="46" t="s">
        <v>23</v>
      </c>
      <c r="J8" s="46">
        <f t="shared" si="2"/>
        <v>24</v>
      </c>
      <c r="K8" s="46">
        <f>IF(ISERROR(SEARCH(I8,'Armée Ennemie'!$A$7,(J8+LEN(M7)))),J8,SEARCH(I8,'Armée Ennemie'!$A$7,(J8+LEN(M7))))</f>
        <v>24</v>
      </c>
      <c r="L8" s="46">
        <f>IFERROR(MID('Armée Ennemie'!$A$7,(((Data!J8+2)+LEN(M7))-IF((M7=":"),2,0)),((((Data!K8-Data!J8)-3)+IF((M7=":"),2,0))-LEN(M7))),0)</f>
        <v>0</v>
      </c>
      <c r="M8" s="46" t="str">
        <f t="shared" si="3"/>
        <v>Jeunes Soldates</v>
      </c>
      <c r="N8" s="46">
        <f>IFERROR(SEARCH(I8,'Armée Ennemie'!$A$7),0)</f>
        <v>0</v>
      </c>
      <c r="O8" s="46"/>
      <c r="P8" s="46"/>
      <c r="Q8" s="46"/>
      <c r="R8" s="46"/>
    </row>
    <row r="9" spans="1:18">
      <c r="A9" s="46" t="s">
        <v>25</v>
      </c>
      <c r="B9" s="46" t="str">
        <f t="shared" si="0"/>
        <v>Absence</v>
      </c>
      <c r="C9" s="46" t="str">
        <f t="shared" si="1"/>
        <v>Absence</v>
      </c>
      <c r="D9" s="46"/>
      <c r="E9" s="46" t="s">
        <v>25</v>
      </c>
      <c r="F9" s="46" t="str">
        <f>IFERROR(SEARCH($E9,'Armée Ennemie'!$A$7,(LEN(E8)+F8)),F8)</f>
        <v>Absence</v>
      </c>
      <c r="G9" s="46">
        <f>IFERROR(SEARCH($E9,'Armée Ennemie'!$A$8,(LEN(E8)+G8)),G8)</f>
        <v>28</v>
      </c>
      <c r="H9" s="46"/>
      <c r="I9" s="46" t="s">
        <v>25</v>
      </c>
      <c r="J9" s="46">
        <f t="shared" si="2"/>
        <v>24</v>
      </c>
      <c r="K9" s="46">
        <f>IF((N9=0),J9,IF(ISERROR(SEARCH(I9,'Armée Ennemie'!$A$7,(J9+LEN(M8)))),J9,SEARCH(I9,'Armée Ennemie'!$A$7,(J9+LEN(M8)))))</f>
        <v>24</v>
      </c>
      <c r="L9" s="46">
        <f>IFERROR(MID('Armée Ennemie'!$A$7,(((Data!J9+2)+LEN(M8))-IF((M8=":"),2,0)),((((Data!K9-Data!J9)-3)+IF((M8=":"),2,0))-LEN(M8))),0)</f>
        <v>0</v>
      </c>
      <c r="M9" s="46" t="str">
        <f t="shared" si="3"/>
        <v>Jeunes Soldates</v>
      </c>
      <c r="N9" s="46">
        <f>IF((IFERROR(SEARCH(I9,'Armée Ennemie'!$A$7),0)=N10),0,IFERROR(SEARCH(I9,'Armée Ennemie'!$A$7),0))</f>
        <v>0</v>
      </c>
      <c r="O9" s="46"/>
      <c r="P9" s="46"/>
      <c r="Q9" s="46"/>
      <c r="R9" s="46"/>
    </row>
    <row r="10" spans="1:18">
      <c r="A10" s="46" t="s">
        <v>28</v>
      </c>
      <c r="B10" s="46" t="str">
        <f t="shared" si="0"/>
        <v>Absence</v>
      </c>
      <c r="C10" s="46" t="str">
        <f t="shared" si="1"/>
        <v>Absence</v>
      </c>
      <c r="D10" s="46"/>
      <c r="E10" s="46" t="s">
        <v>28</v>
      </c>
      <c r="F10" s="46" t="str">
        <f>IFERROR(SEARCH($E10,'Armée Ennemie'!$A$7,(LEN(E9)+F9)),F9)</f>
        <v>Absence</v>
      </c>
      <c r="G10" s="46">
        <f>IFERROR(SEARCH($E10,'Armée Ennemie'!$A$8,(LEN(E9)+G9)),G9)</f>
        <v>28</v>
      </c>
      <c r="H10" s="46"/>
      <c r="I10" s="46" t="s">
        <v>28</v>
      </c>
      <c r="J10" s="46">
        <f t="shared" si="2"/>
        <v>24</v>
      </c>
      <c r="K10" s="46">
        <f>IF(ISERROR(SEARCH(I10,'Armée Ennemie'!$A$7,(J10+LEN(M9)))),J10,SEARCH(I10,'Armée Ennemie'!$A$7,(J10+LEN(M9))))</f>
        <v>24</v>
      </c>
      <c r="L10" s="46">
        <f>IFERROR(MID('Armée Ennemie'!$A$7,(((Data!J10+2)+LEN(M9))-IF((M9=":"),2,0)),((((Data!K10-Data!J10)-3)+IF((M9=":"),2,0))-LEN(M9))),0)</f>
        <v>0</v>
      </c>
      <c r="M10" s="46" t="str">
        <f t="shared" si="3"/>
        <v>Jeunes Soldates</v>
      </c>
      <c r="N10" s="46">
        <f>IFERROR(SEARCH(I10,'Armée Ennemie'!$A$7),0)</f>
        <v>0</v>
      </c>
      <c r="O10" s="46"/>
      <c r="P10" s="46"/>
      <c r="Q10" s="46"/>
      <c r="R10" s="46"/>
    </row>
    <row r="11" spans="1:18">
      <c r="A11" s="46" t="s">
        <v>29</v>
      </c>
      <c r="B11" s="46" t="str">
        <f t="shared" si="0"/>
        <v>Absence</v>
      </c>
      <c r="C11" s="46" t="str">
        <f t="shared" si="1"/>
        <v>Absence</v>
      </c>
      <c r="D11" s="46"/>
      <c r="E11" s="46" t="s">
        <v>29</v>
      </c>
      <c r="F11" s="46" t="str">
        <f>IFERROR(SEARCH($E11,'Armée Ennemie'!$A$7,(LEN(E10)+F10)),F10)</f>
        <v>Absence</v>
      </c>
      <c r="G11" s="46">
        <f>IFERROR(SEARCH($E11,'Armée Ennemie'!$A$8,(LEN(E10)+G10)),G10)</f>
        <v>28</v>
      </c>
      <c r="H11" s="46"/>
      <c r="I11" s="46" t="s">
        <v>29</v>
      </c>
      <c r="J11" s="46">
        <f t="shared" si="2"/>
        <v>24</v>
      </c>
      <c r="K11" s="46">
        <f>IF(ISERROR(SEARCH(I11,'Armée Ennemie'!$A$7,(J11+LEN(M10)))),J11,SEARCH(I11,'Armée Ennemie'!$A$7,(J11+LEN(M10))))</f>
        <v>24</v>
      </c>
      <c r="L11" s="46">
        <f>IFERROR(MID('Armée Ennemie'!$A$7,(((Data!J11+2)+LEN(M10))-IF((M10=":"),2,0)),((((Data!K11-Data!J11)-3)+IF((M10=":"),2,0))-LEN(M10))),0)</f>
        <v>0</v>
      </c>
      <c r="M11" s="46" t="str">
        <f t="shared" si="3"/>
        <v>Jeunes Soldates</v>
      </c>
      <c r="N11" s="46">
        <f>IFERROR(SEARCH(I11,'Armée Ennemie'!$A$7),0)</f>
        <v>0</v>
      </c>
      <c r="O11" s="46"/>
      <c r="P11" s="46"/>
      <c r="Q11" s="46"/>
      <c r="R11" s="46"/>
    </row>
    <row r="12" spans="1:18">
      <c r="A12" s="46" t="s">
        <v>31</v>
      </c>
      <c r="B12" s="46" t="str">
        <f t="shared" si="0"/>
        <v>Absence</v>
      </c>
      <c r="C12" s="46" t="str">
        <f t="shared" si="1"/>
        <v>Absence</v>
      </c>
      <c r="D12" s="46"/>
      <c r="E12" s="46" t="s">
        <v>31</v>
      </c>
      <c r="F12" s="46" t="str">
        <f>IFERROR(SEARCH($E12,'Armée Ennemie'!$A$7,(LEN(E11)+F11)),F11)</f>
        <v>Absence</v>
      </c>
      <c r="G12" s="46">
        <f>IFERROR(SEARCH($E12,'Armée Ennemie'!$A$8,(LEN(E11)+G11)),G11)</f>
        <v>28</v>
      </c>
      <c r="H12" s="46"/>
      <c r="I12" s="46" t="s">
        <v>31</v>
      </c>
      <c r="J12" s="46">
        <f t="shared" si="2"/>
        <v>24</v>
      </c>
      <c r="K12" s="46">
        <f>IF((N12=0),J12,IF(ISERROR(SEARCH(I12,'Armée Ennemie'!$A$7,(J12+LEN(M11)))),J12,SEARCH(I12,'Armée Ennemie'!$A$7,(J12+LEN(M11)))))</f>
        <v>24</v>
      </c>
      <c r="L12" s="46">
        <f>IFERROR(MID('Armée Ennemie'!$A$7,(((Data!J12+2)+LEN(M11))-IF((M11=":"),2,0)),((((Data!K12-Data!J12)-3)+IF((M11=":"),2,0))-LEN(M11))),0)</f>
        <v>0</v>
      </c>
      <c r="M12" s="46" t="str">
        <f t="shared" si="3"/>
        <v>Jeunes Soldates</v>
      </c>
      <c r="N12" s="46">
        <f>IF((IFERROR(SEARCH(I12,'Armée Ennemie'!$A$7),0)=N13),0,IFERROR(SEARCH(I12,'Armée Ennemie'!$A$7),0))</f>
        <v>0</v>
      </c>
      <c r="O12" s="46"/>
      <c r="P12" s="46"/>
      <c r="Q12" s="46"/>
      <c r="R12" s="46"/>
    </row>
    <row r="13" spans="1:18">
      <c r="A13" s="46" t="s">
        <v>32</v>
      </c>
      <c r="B13" s="46" t="str">
        <f t="shared" si="0"/>
        <v>Absence</v>
      </c>
      <c r="C13" s="46" t="str">
        <f t="shared" si="1"/>
        <v>Absence</v>
      </c>
      <c r="D13" s="46"/>
      <c r="E13" s="46" t="s">
        <v>32</v>
      </c>
      <c r="F13" s="46" t="str">
        <f>IFERROR(SEARCH($E13,'Armée Ennemie'!$A$7,(LEN(E12)+F12)),F12)</f>
        <v>Absence</v>
      </c>
      <c r="G13" s="46">
        <f>IFERROR(SEARCH($E13,'Armée Ennemie'!$A$8,(LEN(E12)+G12)),G12)</f>
        <v>28</v>
      </c>
      <c r="H13" s="46"/>
      <c r="I13" s="46" t="s">
        <v>32</v>
      </c>
      <c r="J13" s="46">
        <f t="shared" si="2"/>
        <v>24</v>
      </c>
      <c r="K13" s="46">
        <f>IF(ISERROR(SEARCH(I13,'Armée Ennemie'!$A$7,(J13+LEN(M12)))),J13,SEARCH(I13,'Armée Ennemie'!$A$7,(J13+LEN(M12))))</f>
        <v>24</v>
      </c>
      <c r="L13" s="46">
        <f>IFERROR(MID('Armée Ennemie'!$A$7,(((Data!J13+2)+LEN(M12))-IF((M12=":"),2,0)),((((Data!K13-Data!J13)-3)+IF((M12=":"),2,0))-LEN(M12))),0)</f>
        <v>0</v>
      </c>
      <c r="M13" s="46" t="str">
        <f t="shared" si="3"/>
        <v>Jeunes Soldates</v>
      </c>
      <c r="N13" s="46">
        <f>IFERROR(SEARCH(I13,'Armée Ennemie'!$A$7),0)</f>
        <v>0</v>
      </c>
      <c r="O13" s="46"/>
      <c r="P13" s="46"/>
      <c r="Q13" s="46"/>
      <c r="R13" s="46"/>
    </row>
    <row r="14" spans="1:18">
      <c r="A14" s="46" t="s">
        <v>33</v>
      </c>
      <c r="B14" s="46" t="str">
        <f t="shared" si="0"/>
        <v>Absence</v>
      </c>
      <c r="C14" s="46" t="str">
        <f t="shared" si="1"/>
        <v>Absence</v>
      </c>
      <c r="D14" s="46"/>
      <c r="E14" s="46" t="s">
        <v>33</v>
      </c>
      <c r="F14" s="46" t="str">
        <f>IFERROR(SEARCH($E14,'Armée Ennemie'!$A$7,(LEN(E13)+F13)),F13)</f>
        <v>Absence</v>
      </c>
      <c r="G14" s="46">
        <f>IFERROR(SEARCH($E14,'Armée Ennemie'!$A$8,(LEN(E13)+G13)),G13)</f>
        <v>28</v>
      </c>
      <c r="H14" s="46"/>
      <c r="I14" s="46" t="s">
        <v>33</v>
      </c>
      <c r="J14" s="46">
        <f t="shared" si="2"/>
        <v>24</v>
      </c>
      <c r="K14" s="46">
        <f>IF((N14=0),J14,IF(ISERROR(SEARCH(I14,'Armée Ennemie'!$A$7,(J14+LEN(M13)))),J14,SEARCH(I14,'Armée Ennemie'!$A$7,(J14+LEN(M13)))))</f>
        <v>24</v>
      </c>
      <c r="L14" s="46">
        <f>IFERROR(MID('Armée Ennemie'!$A$7,(((Data!J14+2)+LEN(M13))-IF((M13=":"),2,0)),((((Data!K14-Data!J14)-3)+IF((M13=":"),2,0))-LEN(M13))),0)</f>
        <v>0</v>
      </c>
      <c r="M14" s="46" t="str">
        <f t="shared" si="3"/>
        <v>Jeunes Soldates</v>
      </c>
      <c r="N14" s="46">
        <f>IF((IFERROR(SEARCH(I14,'Armée Ennemie'!$A$7),0)=N15),0,IFERROR(SEARCH(I14,'Armée Ennemie'!$A$7),0))</f>
        <v>0</v>
      </c>
      <c r="O14" s="46"/>
      <c r="P14" s="46"/>
      <c r="Q14" s="46"/>
      <c r="R14" s="46"/>
    </row>
    <row r="15" spans="1:18">
      <c r="A15" s="46" t="s">
        <v>34</v>
      </c>
      <c r="B15" s="46" t="str">
        <f t="shared" si="0"/>
        <v>Absence</v>
      </c>
      <c r="C15" s="46" t="str">
        <f t="shared" si="1"/>
        <v>Absence</v>
      </c>
      <c r="D15" s="46"/>
      <c r="E15" s="46" t="s">
        <v>34</v>
      </c>
      <c r="F15" s="46" t="str">
        <f>IFERROR(SEARCH($E15,'Armée Ennemie'!$A$7,(LEN(E14)+F14)),F14)</f>
        <v>Absence</v>
      </c>
      <c r="G15" s="46">
        <f>IFERROR(SEARCH($E15,'Armée Ennemie'!$A$8,(LEN(E14)+G14)),G14)</f>
        <v>28</v>
      </c>
      <c r="H15" s="46"/>
      <c r="I15" s="46" t="s">
        <v>34</v>
      </c>
      <c r="J15" s="46">
        <f t="shared" si="2"/>
        <v>24</v>
      </c>
      <c r="K15" s="46">
        <f>IF(ISERROR(SEARCH(I15,'Armée Ennemie'!$A$7,(J15+LEN(M14)))),J15,SEARCH(I15,'Armée Ennemie'!$A$7,(J15+LEN(M14))))</f>
        <v>24</v>
      </c>
      <c r="L15" s="46">
        <f>IFERROR(MID('Armée Ennemie'!$A$7,(((Data!J15+2)+LEN(M14))-IF((M14=":"),2,0)),((((Data!K15-Data!J15)-3)+IF((M14=":"),2,0))-LEN(M14))),0)</f>
        <v>0</v>
      </c>
      <c r="M15" s="46" t="str">
        <f t="shared" si="3"/>
        <v>Jeunes Soldates</v>
      </c>
      <c r="N15" s="46">
        <f>IFERROR(SEARCH(I15,'Armée Ennemie'!$A$7),0)</f>
        <v>0</v>
      </c>
      <c r="O15" s="46"/>
      <c r="P15" s="46"/>
      <c r="Q15" s="46"/>
      <c r="R15" s="46"/>
    </row>
    <row r="16" spans="1:18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</row>
    <row r="17" spans="1:18">
      <c r="A17" s="46" t="s">
        <v>61</v>
      </c>
      <c r="B17" s="46" t="s">
        <v>62</v>
      </c>
      <c r="C17" s="46" t="s">
        <v>36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</row>
    <row r="18" spans="1:18">
      <c r="A18" s="10">
        <f>SEARCH(A17,'Armée Ennemie'!A10)</f>
        <v>21</v>
      </c>
      <c r="B18" s="10">
        <f>SEARCH(B17,'Armée Ennemie'!A10)</f>
        <v>27</v>
      </c>
      <c r="C18" s="46" t="str">
        <f>MID('Armée Ennemie'!A10,(Data!A18+1),((Data!B18-Data!A18)-1))</f>
        <v>2 100</v>
      </c>
      <c r="D18" s="46" t="s">
        <v>63</v>
      </c>
      <c r="E18" s="46"/>
      <c r="F18" s="46"/>
      <c r="G18" s="46"/>
      <c r="H18" s="46" t="s">
        <v>6</v>
      </c>
      <c r="I18" s="46" t="s">
        <v>55</v>
      </c>
      <c r="J18" s="46" t="s">
        <v>56</v>
      </c>
      <c r="K18" s="46" t="s">
        <v>57</v>
      </c>
      <c r="L18" s="46" t="s">
        <v>58</v>
      </c>
      <c r="M18" s="46" t="s">
        <v>59</v>
      </c>
      <c r="N18" s="46" t="s">
        <v>60</v>
      </c>
      <c r="O18" s="46"/>
      <c r="P18" s="46"/>
      <c r="Q18" s="46"/>
      <c r="R18" s="46"/>
    </row>
    <row r="19" spans="1:18">
      <c r="A19" s="46" t="s">
        <v>64</v>
      </c>
      <c r="B19" s="46" t="s">
        <v>65</v>
      </c>
      <c r="C19" s="46" t="s">
        <v>35</v>
      </c>
      <c r="D19" s="46"/>
      <c r="E19" s="46"/>
      <c r="F19" s="46"/>
      <c r="G19" s="46"/>
      <c r="H19" s="46"/>
      <c r="I19" s="46" t="s">
        <v>10</v>
      </c>
      <c r="J19" s="46">
        <f>SEARCH(":",'Armée Ennemie'!A8)</f>
        <v>19</v>
      </c>
      <c r="K19" s="46">
        <f>IF(ISERROR(SEARCH(I19,'Armée Ennemie'!$A$8)),J19,SEARCH(I19,'Armée Ennemie'!$A$8))</f>
        <v>28</v>
      </c>
      <c r="L19" s="46" t="str">
        <f>IFERROR(MID('Armée Ennemie'!$A$8,(Data!J19+1),((Data!K19-Data!J19)-2)),0)</f>
        <v>760 322</v>
      </c>
      <c r="M19" s="46" t="str">
        <f>IF((L19&lt;&gt;0),I19,":")</f>
        <v>Jeunes Soldates Naines</v>
      </c>
      <c r="N19" s="46">
        <f>IFERROR(SEARCH(I19,'Armée Ennemie'!$A$8),0)</f>
        <v>28</v>
      </c>
      <c r="O19" s="46"/>
      <c r="P19" s="46" t="str">
        <f t="shared" ref="P19:P32" si="4">IF((M19=":"),":",M19)</f>
        <v>Jeunes Soldates Naines</v>
      </c>
      <c r="Q19" s="46"/>
      <c r="R19" s="46"/>
    </row>
    <row r="20" spans="1:18">
      <c r="A20" s="10">
        <f>LEN(A19)</f>
        <v>17</v>
      </c>
      <c r="B20" s="10">
        <f>SEARCH(B19,'Armée Ennemie'!A11)</f>
        <v>28</v>
      </c>
      <c r="C20" s="41" t="str">
        <f>MID('Armée Ennemie'!A11,(Data!A20+1),((Data!B20-Data!A20)-1))</f>
        <v xml:space="preserve"> 1 520 644</v>
      </c>
      <c r="D20" s="46">
        <f>VALUE(TRIM(C20))</f>
        <v>1520644</v>
      </c>
      <c r="E20" s="46"/>
      <c r="F20" s="46"/>
      <c r="G20" s="46"/>
      <c r="H20" s="46"/>
      <c r="I20" s="46" t="s">
        <v>12</v>
      </c>
      <c r="J20" s="46">
        <f t="shared" ref="J20:J32" si="5">K19</f>
        <v>28</v>
      </c>
      <c r="K20" s="46">
        <f>IF(ISERROR(SEARCH(I20,'Armée Ennemie'!$A$8,(J20+LEN(M19)))),J20,SEARCH(I20,'Armée Ennemie'!$A$8,(J20+LEN(M19))))</f>
        <v>28</v>
      </c>
      <c r="L20" s="46">
        <f>IFERROR(MID('Armée Ennemie'!$A$8,(((Data!J20+2)+LEN(M19))-IF((M19=":"),2,0)),((((Data!K20-Data!J20)-3)+IF((M19=":"),2,0))-LEN(M19))),0)</f>
        <v>0</v>
      </c>
      <c r="M20" s="46" t="str">
        <f t="shared" ref="M20:M32" si="6">IF((L20&lt;&gt;0),I20,M19)</f>
        <v>Jeunes Soldates Naines</v>
      </c>
      <c r="N20" s="46">
        <f>IFERROR(SEARCH(I20,'Armée Ennemie'!$A$8),0)</f>
        <v>35</v>
      </c>
      <c r="O20" s="46"/>
      <c r="P20" s="46" t="str">
        <f t="shared" si="4"/>
        <v>Jeunes Soldates Naines</v>
      </c>
      <c r="Q20" s="46"/>
      <c r="R20" s="46" t="str">
        <f>IF((L19=0),M20,I19)</f>
        <v>Jeunes Soldates Naines</v>
      </c>
    </row>
    <row r="21" spans="1:18">
      <c r="A21" s="10"/>
      <c r="B21" s="46"/>
      <c r="C21" s="46" t="s">
        <v>36</v>
      </c>
      <c r="D21" s="46"/>
      <c r="E21" s="46"/>
      <c r="F21" s="46"/>
      <c r="G21" s="46"/>
      <c r="H21" s="46"/>
      <c r="I21" s="46" t="s">
        <v>14</v>
      </c>
      <c r="J21" s="46">
        <f t="shared" si="5"/>
        <v>28</v>
      </c>
      <c r="K21" s="46">
        <f>IF(ISERROR(SEARCH(I21,'Armée Ennemie'!$A$8,(J21+LEN(M20)))),J21,SEARCH(I21,'Armée Ennemie'!$A$8,(J21+LEN(M20))))</f>
        <v>28</v>
      </c>
      <c r="L21" s="46">
        <f>IFERROR(MID('Armée Ennemie'!$A$8,(((Data!J21+2)+LEN(M20))-IF((M20=":"),2,0)),((((Data!K21-Data!J21)-3)+IF((M20=":"),2,0))-LEN(M20))),0)</f>
        <v>0</v>
      </c>
      <c r="M21" s="46" t="str">
        <f t="shared" si="6"/>
        <v>Jeunes Soldates Naines</v>
      </c>
      <c r="N21" s="46">
        <f>IFERROR(SEARCH(I21,'Armée Ennemie'!$A$8),0)</f>
        <v>0</v>
      </c>
      <c r="O21" s="46"/>
      <c r="P21" s="46" t="str">
        <f t="shared" si="4"/>
        <v>Jeunes Soldates Naines</v>
      </c>
      <c r="Q21" s="46"/>
      <c r="R21" s="46" t="str">
        <f t="shared" ref="R21:R32" si="7">IF((VLOOKUP(R20,$I$19:$L$32,4,FALSE)=0),M21,$I$19)</f>
        <v>Jeunes Soldates Naines</v>
      </c>
    </row>
    <row r="22" spans="1:18">
      <c r="A22" s="10">
        <f>SEARCH(A17,'Armée Ennemie'!A11)</f>
        <v>29</v>
      </c>
      <c r="B22" s="10">
        <f>SEARCH(B17,'Armée Ennemie'!A11)</f>
        <v>39</v>
      </c>
      <c r="C22" s="41" t="str">
        <f>MID('Armée Ennemie'!A11,(Data!A22+1),((Data!B22-Data!A22)-1))</f>
        <v>3 345 417</v>
      </c>
      <c r="D22" s="46" t="s">
        <v>42</v>
      </c>
      <c r="E22" s="46"/>
      <c r="F22" s="46"/>
      <c r="G22" s="46"/>
      <c r="H22" s="46"/>
      <c r="I22" s="46" t="s">
        <v>16</v>
      </c>
      <c r="J22" s="46">
        <f t="shared" si="5"/>
        <v>28</v>
      </c>
      <c r="K22" s="46">
        <f>IF(ISERROR(SEARCH(I22,'Armée Ennemie'!$A$8,(J22+LEN(M21)))),J22,SEARCH(I22,'Armée Ennemie'!$A$8,(J22+LEN(M21))))</f>
        <v>28</v>
      </c>
      <c r="L22" s="46">
        <f>IFERROR(MID('Armée Ennemie'!$A$8,(((Data!J22+2)+LEN(M21))-IF((M21=":"),2,0)),((((Data!K22-Data!J22)-3)+IF((M21=":"),2,0))-LEN(M21))),0)</f>
        <v>0</v>
      </c>
      <c r="M22" s="46" t="str">
        <f t="shared" si="6"/>
        <v>Jeunes Soldates Naines</v>
      </c>
      <c r="N22" s="46">
        <f>IFERROR(SEARCH(I22,'Armée Ennemie'!$A$8),0)</f>
        <v>28</v>
      </c>
      <c r="O22" s="46"/>
      <c r="P22" s="46" t="str">
        <f t="shared" si="4"/>
        <v>Jeunes Soldates Naines</v>
      </c>
      <c r="Q22" s="46"/>
      <c r="R22" s="46" t="str">
        <f t="shared" si="7"/>
        <v>Jeunes Soldates Naines</v>
      </c>
    </row>
    <row r="23" spans="1:18">
      <c r="A23" s="46"/>
      <c r="B23" s="46"/>
      <c r="C23" s="46"/>
      <c r="D23" s="46"/>
      <c r="E23" s="46"/>
      <c r="F23" s="46"/>
      <c r="G23" s="46"/>
      <c r="H23" s="46"/>
      <c r="I23" s="46" t="s">
        <v>19</v>
      </c>
      <c r="J23" s="46">
        <f t="shared" si="5"/>
        <v>28</v>
      </c>
      <c r="K23" s="46">
        <f>IF((N23=0),J23,IF(ISERROR(SEARCH(I23,'Armée Ennemie'!$A$8,(J23+LEN(M22)))),J23,SEARCH(I23,'Armée Ennemie'!$A$8,(J23+LEN(M22)))))</f>
        <v>28</v>
      </c>
      <c r="L23" s="46">
        <f>IFERROR(MID('Armée Ennemie'!$A$8,(((Data!J23+2)+LEN(M22))-IF((M22=":"),2,0)),((((Data!K23-Data!J23)-3)+IF((M22=":"),2,0))-LEN(M22))),0)</f>
        <v>0</v>
      </c>
      <c r="M23" s="46" t="str">
        <f t="shared" si="6"/>
        <v>Jeunes Soldates Naines</v>
      </c>
      <c r="N23" s="46">
        <f>IF((IFERROR(SEARCH(I23,'Armée Ennemie'!$A$8),0)=N28),0,IFERROR(SEARCH(I23,'Armée Ennemie'!$A$8),0))</f>
        <v>35</v>
      </c>
      <c r="O23" s="46"/>
      <c r="P23" s="46" t="str">
        <f t="shared" si="4"/>
        <v>Jeunes Soldates Naines</v>
      </c>
      <c r="Q23" s="46"/>
      <c r="R23" s="46" t="str">
        <f t="shared" si="7"/>
        <v>Jeunes Soldates Naines</v>
      </c>
    </row>
    <row r="24" spans="1:18">
      <c r="A24" s="46"/>
      <c r="B24" s="46" t="s">
        <v>66</v>
      </c>
      <c r="C24" s="46">
        <f>ROUND((C22/C20),1)*10</f>
        <v>22</v>
      </c>
      <c r="D24" s="46"/>
      <c r="E24" s="46"/>
      <c r="F24" s="46"/>
      <c r="G24" s="46"/>
      <c r="H24" s="46"/>
      <c r="I24" s="46" t="s">
        <v>20</v>
      </c>
      <c r="J24" s="46">
        <f t="shared" si="5"/>
        <v>28</v>
      </c>
      <c r="K24" s="46">
        <f>IF((N24=0),J24,IF(ISERROR(SEARCH(I24,'Armée Ennemie'!$A$8,(J24+LEN(M23)))),J24,SEARCH(I24,'Armée Ennemie'!$A$8,(J24+LEN(M23)))))</f>
        <v>28</v>
      </c>
      <c r="L24" s="46">
        <f>IFERROR(MID('Armée Ennemie'!$A$8,(((Data!J24+2)+LEN(M23))-IF((M23=":"),2,0)),((((Data!K24-Data!J24)-3)+IF((M23=":"),2,0))-LEN(M23))),0)</f>
        <v>0</v>
      </c>
      <c r="M24" s="46" t="str">
        <f t="shared" si="6"/>
        <v>Jeunes Soldates Naines</v>
      </c>
      <c r="N24" s="46">
        <f>IF((IFERROR(SEARCH(I24,'Armée Ennemie'!$A$8),0)=N25),0,IFERROR(SEARCH(I24,'Armée Ennemie'!$A$8),0))</f>
        <v>0</v>
      </c>
      <c r="O24" s="46"/>
      <c r="P24" s="46" t="str">
        <f t="shared" si="4"/>
        <v>Jeunes Soldates Naines</v>
      </c>
      <c r="Q24" s="46"/>
      <c r="R24" s="46" t="str">
        <f t="shared" si="7"/>
        <v>Jeunes Soldates Naines</v>
      </c>
    </row>
    <row r="25" spans="1:18">
      <c r="A25" s="46"/>
      <c r="B25" s="46"/>
      <c r="C25" s="46"/>
      <c r="D25" s="46"/>
      <c r="E25" s="46"/>
      <c r="F25" s="46"/>
      <c r="G25" s="46"/>
      <c r="H25" s="46"/>
      <c r="I25" s="46" t="s">
        <v>23</v>
      </c>
      <c r="J25" s="46">
        <f t="shared" si="5"/>
        <v>28</v>
      </c>
      <c r="K25" s="46">
        <f>IF(ISERROR(SEARCH(I25,'Armée Ennemie'!$A$8,(J25+LEN(M24)))),J25,SEARCH(I25,'Armée Ennemie'!$A$8,(J25+LEN(M24))))</f>
        <v>28</v>
      </c>
      <c r="L25" s="46">
        <f>IFERROR(MID('Armée Ennemie'!$A$8,(((Data!J25+2)+LEN(M24))-IF((M24=":"),2,0)),((((Data!K25-Data!J25)-3)+IF((M24=":"),2,0))-LEN(M24))),0)</f>
        <v>0</v>
      </c>
      <c r="M25" s="46" t="str">
        <f t="shared" si="6"/>
        <v>Jeunes Soldates Naines</v>
      </c>
      <c r="N25" s="46">
        <f>IFERROR(SEARCH(I25,'Armée Ennemie'!$A$8),0)</f>
        <v>0</v>
      </c>
      <c r="O25" s="46"/>
      <c r="P25" s="46" t="str">
        <f t="shared" si="4"/>
        <v>Jeunes Soldates Naines</v>
      </c>
      <c r="Q25" s="46"/>
      <c r="R25" s="46" t="str">
        <f t="shared" si="7"/>
        <v>Jeunes Soldates Naines</v>
      </c>
    </row>
    <row r="26" spans="1:18">
      <c r="A26" s="46"/>
      <c r="B26" s="46"/>
      <c r="C26" s="46"/>
      <c r="D26" s="46"/>
      <c r="E26" s="46"/>
      <c r="F26" s="46"/>
      <c r="G26" s="46"/>
      <c r="H26" s="46"/>
      <c r="I26" s="46" t="s">
        <v>25</v>
      </c>
      <c r="J26" s="46">
        <f t="shared" si="5"/>
        <v>28</v>
      </c>
      <c r="K26" s="46">
        <f>IF((N26=0),J26,IF(ISERROR(SEARCH(I26,'Armée Ennemie'!$A$8,(J26+LEN(M25)))),J26,SEARCH(I26,'Armée Ennemie'!$A$8,(J26+LEN(M25)))))</f>
        <v>28</v>
      </c>
      <c r="L26" s="46">
        <f>IFERROR(MID('Armée Ennemie'!$A$8,(((Data!J26+2)+LEN(M25))-IF((M25=":"),2,0)),((((Data!K26-Data!J26)-3)+IF((M25=":"),2,0))-LEN(M25))),0)</f>
        <v>0</v>
      </c>
      <c r="M26" s="46" t="str">
        <f t="shared" si="6"/>
        <v>Jeunes Soldates Naines</v>
      </c>
      <c r="N26" s="46">
        <f>IF((IFERROR(SEARCH(I26,'Armée Ennemie'!$A$8),0)=N27),0,IFERROR(SEARCH(I26,'Armée Ennemie'!$A$8),0))</f>
        <v>0</v>
      </c>
      <c r="O26" s="46"/>
      <c r="P26" s="46" t="str">
        <f t="shared" si="4"/>
        <v>Jeunes Soldates Naines</v>
      </c>
      <c r="Q26" s="46"/>
      <c r="R26" s="46" t="str">
        <f t="shared" si="7"/>
        <v>Jeunes Soldates Naines</v>
      </c>
    </row>
    <row r="27" spans="1:18">
      <c r="A27" s="46"/>
      <c r="B27" s="46"/>
      <c r="C27" s="46"/>
      <c r="D27" s="46"/>
      <c r="E27" s="46"/>
      <c r="F27" s="46"/>
      <c r="G27" s="46"/>
      <c r="H27" s="46"/>
      <c r="I27" s="46" t="s">
        <v>28</v>
      </c>
      <c r="J27" s="46">
        <f t="shared" si="5"/>
        <v>28</v>
      </c>
      <c r="K27" s="46">
        <f>IF(ISERROR(SEARCH(I27,'Armée Ennemie'!$A$8,(J27+LEN(M26)))),J27,SEARCH(I27,'Armée Ennemie'!$A$8,(J27+LEN(M26))))</f>
        <v>28</v>
      </c>
      <c r="L27" s="46">
        <f>IFERROR(MID('Armée Ennemie'!$A$8,(((Data!J27+2)+LEN(M26))-IF((M26=":"),2,0)),((((Data!K27-Data!J27)-3)+IF((M26=":"),2,0))-LEN(M26))),0)</f>
        <v>0</v>
      </c>
      <c r="M27" s="46" t="str">
        <f t="shared" si="6"/>
        <v>Jeunes Soldates Naines</v>
      </c>
      <c r="N27" s="46">
        <f>IFERROR(SEARCH(I27,'Armée Ennemie'!$A$8),0)</f>
        <v>0</v>
      </c>
      <c r="O27" s="46"/>
      <c r="P27" s="46" t="str">
        <f t="shared" si="4"/>
        <v>Jeunes Soldates Naines</v>
      </c>
      <c r="Q27" s="46"/>
      <c r="R27" s="46" t="str">
        <f t="shared" si="7"/>
        <v>Jeunes Soldates Naines</v>
      </c>
    </row>
    <row r="28" spans="1:18">
      <c r="A28" s="46"/>
      <c r="B28" s="46"/>
      <c r="C28" s="46"/>
      <c r="D28" s="46"/>
      <c r="E28" s="46"/>
      <c r="F28" s="46"/>
      <c r="G28" s="46"/>
      <c r="H28" s="46"/>
      <c r="I28" s="46" t="s">
        <v>29</v>
      </c>
      <c r="J28" s="46">
        <f t="shared" si="5"/>
        <v>28</v>
      </c>
      <c r="K28" s="46">
        <f>IF(ISERROR(SEARCH(I28,'Armée Ennemie'!$A$8,(J28+LEN(M27)))),J28,SEARCH(I28,'Armée Ennemie'!$A$8,(J28+LEN(M27))))</f>
        <v>28</v>
      </c>
      <c r="L28" s="46">
        <f>IFERROR(MID('Armée Ennemie'!$A$8,(((Data!J28+2)+LEN(M27))-IF((M27=":"),2,0)),((((Data!K28-Data!J28)-3)+IF((M27=":"),2,0))-LEN(M27))),0)</f>
        <v>0</v>
      </c>
      <c r="M28" s="46" t="str">
        <f t="shared" si="6"/>
        <v>Jeunes Soldates Naines</v>
      </c>
      <c r="N28" s="46">
        <f>IFERROR(SEARCH(I28,'Armée Ennemie'!$A$8),0)</f>
        <v>0</v>
      </c>
      <c r="O28" s="46"/>
      <c r="P28" s="46" t="str">
        <f t="shared" si="4"/>
        <v>Jeunes Soldates Naines</v>
      </c>
      <c r="Q28" s="46"/>
      <c r="R28" s="46" t="str">
        <f t="shared" si="7"/>
        <v>Jeunes Soldates Naines</v>
      </c>
    </row>
    <row r="29" spans="1:18">
      <c r="A29" s="46"/>
      <c r="B29" s="46"/>
      <c r="C29" s="46"/>
      <c r="D29" s="46"/>
      <c r="E29" s="46"/>
      <c r="F29" s="46"/>
      <c r="G29" s="46"/>
      <c r="H29" s="46"/>
      <c r="I29" s="46" t="s">
        <v>31</v>
      </c>
      <c r="J29" s="46">
        <f t="shared" si="5"/>
        <v>28</v>
      </c>
      <c r="K29" s="46">
        <f>IF((N29=0),J29,IF(ISERROR(SEARCH(I29,'Armée Ennemie'!$A$8,(J29+LEN(M28)))),J29,SEARCH(I29,'Armée Ennemie'!$A$8,(J29+LEN(M28)))))</f>
        <v>28</v>
      </c>
      <c r="L29" s="46">
        <f>IFERROR(MID('Armée Ennemie'!$A$8,(((Data!J29+2)+LEN(M28))-IF((M28=":"),2,0)),((((Data!K29-Data!J29)-3)+IF((M28=":"),2,0))-LEN(M28))),0)</f>
        <v>0</v>
      </c>
      <c r="M29" s="46" t="str">
        <f t="shared" si="6"/>
        <v>Jeunes Soldates Naines</v>
      </c>
      <c r="N29" s="46">
        <f>IF((IFERROR(SEARCH(I29,'Armée Ennemie'!$A$8),0)=N30),0,IFERROR(SEARCH(I29,'Armée Ennemie'!$A$8),0))</f>
        <v>0</v>
      </c>
      <c r="O29" s="46"/>
      <c r="P29" s="46" t="str">
        <f t="shared" si="4"/>
        <v>Jeunes Soldates Naines</v>
      </c>
      <c r="Q29" s="46"/>
      <c r="R29" s="46" t="str">
        <f t="shared" si="7"/>
        <v>Jeunes Soldates Naines</v>
      </c>
    </row>
    <row r="30" spans="1:18">
      <c r="A30" s="46"/>
      <c r="B30" s="46"/>
      <c r="C30" s="46"/>
      <c r="D30" s="46"/>
      <c r="E30" s="46"/>
      <c r="F30" s="46"/>
      <c r="G30" s="46"/>
      <c r="H30" s="46"/>
      <c r="I30" s="46" t="s">
        <v>32</v>
      </c>
      <c r="J30" s="46">
        <f t="shared" si="5"/>
        <v>28</v>
      </c>
      <c r="K30" s="46">
        <f>IF(ISERROR(SEARCH(I30,'Armée Ennemie'!$A$8,(J30+LEN(M29)))),J30,SEARCH(I30,'Armée Ennemie'!$A$8,(J30+LEN(M29))))</f>
        <v>28</v>
      </c>
      <c r="L30" s="46">
        <f>IFERROR(MID('Armée Ennemie'!$A$8,(((Data!J30+2)+LEN(M29))-IF((M29=":"),2,0)),((((Data!K30-Data!J30)-3)+IF((M29=":"),2,0))-LEN(M29))),0)</f>
        <v>0</v>
      </c>
      <c r="M30" s="46" t="str">
        <f t="shared" si="6"/>
        <v>Jeunes Soldates Naines</v>
      </c>
      <c r="N30" s="46">
        <f>IFERROR(SEARCH(I30,'Armée Ennemie'!$A$8),0)</f>
        <v>0</v>
      </c>
      <c r="O30" s="46"/>
      <c r="P30" s="46" t="str">
        <f t="shared" si="4"/>
        <v>Jeunes Soldates Naines</v>
      </c>
      <c r="Q30" s="46"/>
      <c r="R30" s="46" t="str">
        <f t="shared" si="7"/>
        <v>Jeunes Soldates Naines</v>
      </c>
    </row>
    <row r="31" spans="1:18">
      <c r="A31" s="46"/>
      <c r="B31" s="46"/>
      <c r="C31" s="46"/>
      <c r="D31" s="46"/>
      <c r="E31" s="46"/>
      <c r="F31" s="46"/>
      <c r="G31" s="46"/>
      <c r="H31" s="46"/>
      <c r="I31" s="46" t="s">
        <v>33</v>
      </c>
      <c r="J31" s="46">
        <f t="shared" si="5"/>
        <v>28</v>
      </c>
      <c r="K31" s="46">
        <f>IF((N31=0),J31,IF(ISERROR(SEARCH(I31,'Armée Ennemie'!$A$8,(J31+LEN(M30)))),J31,SEARCH(I31,'Armée Ennemie'!$A$8,(J31+LEN(M30)))))</f>
        <v>28</v>
      </c>
      <c r="L31" s="46">
        <f>IFERROR(MID('Armée Ennemie'!$A$8,(((Data!J31+2)+LEN(M30))-IF((M30=":"),2,0)),((((Data!K31-Data!J31)-3)+IF((M30=":"),2,0))-LEN(M30))),0)</f>
        <v>0</v>
      </c>
      <c r="M31" s="46" t="str">
        <f t="shared" si="6"/>
        <v>Jeunes Soldates Naines</v>
      </c>
      <c r="N31" s="46">
        <f>IF((IFERROR(SEARCH(I31,'Armée Ennemie'!$A$8),0)=N32),0,IFERROR(SEARCH(I31,'Armée Ennemie'!$A$8),0))</f>
        <v>0</v>
      </c>
      <c r="O31" s="46"/>
      <c r="P31" s="46" t="str">
        <f t="shared" si="4"/>
        <v>Jeunes Soldates Naines</v>
      </c>
      <c r="Q31" s="46"/>
      <c r="R31" s="46" t="str">
        <f t="shared" si="7"/>
        <v>Jeunes Soldates Naines</v>
      </c>
    </row>
    <row r="32" spans="1:18">
      <c r="A32" s="46"/>
      <c r="B32" s="46"/>
      <c r="C32" s="46"/>
      <c r="D32" s="46"/>
      <c r="E32" s="46"/>
      <c r="F32" s="46"/>
      <c r="G32" s="46"/>
      <c r="H32" s="46"/>
      <c r="I32" s="46" t="s">
        <v>34</v>
      </c>
      <c r="J32" s="46">
        <f t="shared" si="5"/>
        <v>28</v>
      </c>
      <c r="K32" s="46">
        <f>IF(ISERROR(SEARCH(I32,'Armée Ennemie'!$A$8,(J32+LEN(M31)))),J32,SEARCH(I32,'Armée Ennemie'!$A$8,(J32+LEN(M31))))</f>
        <v>28</v>
      </c>
      <c r="L32" s="46">
        <f>IFERROR(MID('Armée Ennemie'!$A$8,(((Data!J32+2)+LEN(M31))-IF((M31=":"),2,0)),((((Data!K32-Data!J32)-3)+IF((M31=":"),2,0))-LEN(M31))),0)</f>
        <v>0</v>
      </c>
      <c r="M32" s="46" t="str">
        <f t="shared" si="6"/>
        <v>Jeunes Soldates Naines</v>
      </c>
      <c r="N32" s="46">
        <f>IFERROR(SEARCH(I32,'Armée Ennemie'!$A$8),0)</f>
        <v>0</v>
      </c>
      <c r="O32" s="46"/>
      <c r="P32" s="46" t="str">
        <f t="shared" si="4"/>
        <v>Jeunes Soldates Naines</v>
      </c>
      <c r="Q32" s="46"/>
      <c r="R32" s="46" t="str">
        <f t="shared" si="7"/>
        <v>Jeunes Soldates Naines</v>
      </c>
    </row>
    <row r="33" spans="1:18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</row>
    <row r="34" spans="1:18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</row>
    <row r="35" spans="1:18">
      <c r="A35" s="46"/>
      <c r="B35" s="46"/>
      <c r="C35" s="46"/>
      <c r="D35" s="46"/>
      <c r="E35" s="46"/>
      <c r="F35" s="46"/>
      <c r="G35" s="46" t="s">
        <v>67</v>
      </c>
      <c r="H35" s="46" t="s">
        <v>5</v>
      </c>
      <c r="I35" s="46" t="s">
        <v>55</v>
      </c>
      <c r="J35" s="46" t="s">
        <v>56</v>
      </c>
      <c r="K35" s="46" t="s">
        <v>57</v>
      </c>
      <c r="L35" s="46" t="s">
        <v>58</v>
      </c>
      <c r="M35" s="46" t="s">
        <v>59</v>
      </c>
      <c r="N35" s="46" t="s">
        <v>60</v>
      </c>
      <c r="O35" s="46"/>
      <c r="P35" s="46"/>
      <c r="Q35" s="46"/>
      <c r="R35" s="46"/>
    </row>
    <row r="36" spans="1:18">
      <c r="A36" s="46"/>
      <c r="B36" s="46"/>
      <c r="C36" s="46"/>
      <c r="D36" s="46"/>
      <c r="E36" s="46"/>
      <c r="F36" s="46"/>
      <c r="G36" s="46"/>
      <c r="H36" s="46"/>
      <c r="I36" s="46" t="s">
        <v>10</v>
      </c>
      <c r="J36" s="46">
        <f>SEARCH(":",'Mon armée'!A7)</f>
        <v>19</v>
      </c>
      <c r="K36" s="46">
        <f>IF(ISERROR(SEARCH(I36,'Mon armée'!A$7)),J36,SEARCH(I36,'Mon armée'!A$7))</f>
        <v>32</v>
      </c>
      <c r="L36" s="46" t="str">
        <f>IFERROR(MID('Mon armée'!A$7,(Data!J36+1),((Data!K36-Data!J36)-2)),0)</f>
        <v>309 976 872</v>
      </c>
      <c r="M36" s="46" t="str">
        <f>IF((L36&lt;&gt;0),I36,":")</f>
        <v>Jeunes Soldates Naines</v>
      </c>
      <c r="N36" s="46">
        <f>IFERROR(SEARCH(I36,'Mon armée'!A$7),0)</f>
        <v>32</v>
      </c>
      <c r="O36" s="46"/>
      <c r="P36" s="46" t="str">
        <f t="shared" ref="P36:P49" si="8">IF((M36=":"),":",M36)</f>
        <v>Jeunes Soldates Naines</v>
      </c>
      <c r="Q36" s="46"/>
      <c r="R36" s="46"/>
    </row>
    <row r="37" spans="1:18">
      <c r="A37" s="46"/>
      <c r="B37" s="46"/>
      <c r="C37" s="46"/>
      <c r="D37" s="46"/>
      <c r="E37" s="46"/>
      <c r="F37" s="46"/>
      <c r="G37" s="46"/>
      <c r="H37" s="46"/>
      <c r="I37" s="46" t="s">
        <v>12</v>
      </c>
      <c r="J37" s="46">
        <f t="shared" ref="J37:J49" si="9">K36</f>
        <v>32</v>
      </c>
      <c r="K37" s="46">
        <f>IF(ISERROR(SEARCH(I37,'Mon armée'!A$7,(J37+LEN(M36)))),J37,SEARCH(I37,'Mon armée'!A$7,(J37+LEN(M36))))</f>
        <v>64</v>
      </c>
      <c r="L37" s="46" t="str">
        <f>IFERROR(MID('Mon armée'!A$7,(((Data!J37+2)+LEN(M36))-IF((M36=":"),2,0)),((((Data!K37-Data!J37)-3)+IF((M36=":"),2,0))-LEN(M36))),0)</f>
        <v>763 346</v>
      </c>
      <c r="M37" s="46" t="str">
        <f t="shared" ref="M37:M49" si="10">IF((L37&lt;&gt;0),I37,M36)</f>
        <v>Soldates Naines</v>
      </c>
      <c r="N37" s="46">
        <f>IFERROR(SEARCH(I37,'Mon armée'!A$7),0)</f>
        <v>39</v>
      </c>
      <c r="O37" s="46"/>
      <c r="P37" s="46" t="str">
        <f t="shared" si="8"/>
        <v>Soldates Naines</v>
      </c>
      <c r="Q37" s="46"/>
      <c r="R37" s="46" t="str">
        <f>IF((L36=0),M37,I36)</f>
        <v>Jeunes Soldates Naines</v>
      </c>
    </row>
    <row r="38" spans="1:18">
      <c r="A38" s="46"/>
      <c r="B38" s="46"/>
      <c r="C38" s="46"/>
      <c r="D38" s="46"/>
      <c r="E38" s="46"/>
      <c r="F38" s="46"/>
      <c r="G38" s="46"/>
      <c r="H38" s="46"/>
      <c r="I38" s="46" t="s">
        <v>14</v>
      </c>
      <c r="J38" s="46">
        <f t="shared" si="9"/>
        <v>64</v>
      </c>
      <c r="K38" s="46">
        <f>IF(ISERROR(SEARCH(I38,'Mon armée'!A$7,(J38+LEN(M37)))),J38,SEARCH(I38,'Mon armée'!A$7,(J38+LEN(M37))))</f>
        <v>64</v>
      </c>
      <c r="L38" s="46">
        <f>IFERROR(MID('Mon armée'!A$7,(((Data!J38+2)+LEN(M37))-IF((M37=":"),2,0)),((((Data!K38-Data!J38)-3)+IF((M37=":"),2,0))-LEN(M37))),0)</f>
        <v>0</v>
      </c>
      <c r="M38" s="46" t="str">
        <f t="shared" si="10"/>
        <v>Soldates Naines</v>
      </c>
      <c r="N38" s="46">
        <f>IFERROR(SEARCH(I38,'Mon armée'!A$7),0)</f>
        <v>0</v>
      </c>
      <c r="O38" s="46"/>
      <c r="P38" s="46" t="str">
        <f t="shared" si="8"/>
        <v>Soldates Naines</v>
      </c>
      <c r="Q38" s="46"/>
      <c r="R38" s="46" t="str">
        <f t="shared" ref="R38:R49" si="11">IF((VLOOKUP(R37,$I$36:$L$49,4,FALSE)=0),M38,$I$36)</f>
        <v>Jeunes Soldates Naines</v>
      </c>
    </row>
    <row r="39" spans="1:18">
      <c r="A39" s="46"/>
      <c r="B39" s="46"/>
      <c r="C39" s="46"/>
      <c r="D39" s="46"/>
      <c r="E39" s="46"/>
      <c r="F39" s="46"/>
      <c r="G39" s="46"/>
      <c r="H39" s="46"/>
      <c r="I39" s="46" t="s">
        <v>16</v>
      </c>
      <c r="J39" s="46">
        <f t="shared" si="9"/>
        <v>64</v>
      </c>
      <c r="K39" s="46">
        <f>IF(ISERROR(SEARCH(I39,'Mon armée'!A$7,(J39+LEN(M38)))),J39,SEARCH(I39,'Mon armée'!A$7,(J39+LEN(M38))))</f>
        <v>64</v>
      </c>
      <c r="L39" s="46">
        <f>IFERROR(MID('Mon armée'!A$7,(((Data!J39+2)+LEN(M38))-IF((M38=":"),2,0)),((((Data!K39-Data!J39)-3)+IF((M38=":"),2,0))-LEN(M38))),0)</f>
        <v>0</v>
      </c>
      <c r="M39" s="46" t="str">
        <f t="shared" si="10"/>
        <v>Soldates Naines</v>
      </c>
      <c r="N39" s="46">
        <f>IFERROR(SEARCH(I39,'Mon armée'!A$7),0)</f>
        <v>32</v>
      </c>
      <c r="O39" s="46"/>
      <c r="P39" s="46" t="str">
        <f t="shared" si="8"/>
        <v>Soldates Naines</v>
      </c>
      <c r="Q39" s="46"/>
      <c r="R39" s="46" t="str">
        <f t="shared" si="11"/>
        <v>Jeunes Soldates Naines</v>
      </c>
    </row>
    <row r="40" spans="1:18">
      <c r="A40" s="46"/>
      <c r="B40" s="46"/>
      <c r="C40" s="46"/>
      <c r="D40" s="46"/>
      <c r="E40" s="46"/>
      <c r="F40" s="46"/>
      <c r="G40" s="46"/>
      <c r="H40" s="46"/>
      <c r="I40" s="46" t="s">
        <v>19</v>
      </c>
      <c r="J40" s="46">
        <f t="shared" si="9"/>
        <v>64</v>
      </c>
      <c r="K40" s="46">
        <f>IF((N40=0),J40,IF(ISERROR(SEARCH(I40,'Mon armée'!A$7,(J40+LEN(M39)))),J40,SEARCH(I40,'Mon armée'!A$7,(J40+LEN(M39)))))</f>
        <v>64</v>
      </c>
      <c r="L40" s="46">
        <f>IFERROR(MID('Mon armée'!A$7,(((Data!J40+2)+LEN(M39))-IF((M39=":"),2,0)),((((Data!K40-Data!J40)-3)+IF((M39=":"),2,0))-LEN(M39))),0)</f>
        <v>0</v>
      </c>
      <c r="M40" s="46" t="str">
        <f t="shared" si="10"/>
        <v>Soldates Naines</v>
      </c>
      <c r="N40" s="46">
        <f>IF((IFERROR(SEARCH(I40,'Mon armée'!A$7),0)=N45),0,IFERROR(SEARCH(I40,'Mon armée'!A$7),0))</f>
        <v>39</v>
      </c>
      <c r="O40" s="46"/>
      <c r="P40" s="46" t="str">
        <f t="shared" si="8"/>
        <v>Soldates Naines</v>
      </c>
      <c r="Q40" s="46"/>
      <c r="R40" s="46" t="str">
        <f t="shared" si="11"/>
        <v>Jeunes Soldates Naines</v>
      </c>
    </row>
    <row r="41" spans="1:18">
      <c r="A41" s="46"/>
      <c r="B41" s="46"/>
      <c r="C41" s="46"/>
      <c r="D41" s="46"/>
      <c r="E41" s="46"/>
      <c r="F41" s="46"/>
      <c r="G41" s="46"/>
      <c r="H41" s="46"/>
      <c r="I41" s="46" t="s">
        <v>20</v>
      </c>
      <c r="J41" s="46">
        <f t="shared" si="9"/>
        <v>64</v>
      </c>
      <c r="K41" s="46">
        <f>IF((N41=0),J41,IF(ISERROR(SEARCH(I41,'Mon armée'!A$7,(J41+LEN(M40)))),J41,SEARCH(I41,'Mon armée'!A$7,(J41+LEN(M40)))))</f>
        <v>87</v>
      </c>
      <c r="L41" s="46" t="str">
        <f>IFERROR(MID('Mon armée'!A$7,(((Data!J41+2)+LEN(M40))-IF((M40=":"),2,0)),((((Data!K41-Data!J41)-3)+IF((M40=":"),2,0))-LEN(M40))),0)</f>
        <v>3 000</v>
      </c>
      <c r="M41" s="46" t="str">
        <f t="shared" si="10"/>
        <v>Concierges</v>
      </c>
      <c r="N41" s="46">
        <f>IF((IFERROR(SEARCH(I41,'Mon armée'!A$7),0)=N42),0,IFERROR(SEARCH(I41,'Mon armée'!A$7),0))</f>
        <v>87</v>
      </c>
      <c r="O41" s="46"/>
      <c r="P41" s="46" t="str">
        <f t="shared" si="8"/>
        <v>Concierges</v>
      </c>
      <c r="Q41" s="46"/>
      <c r="R41" s="46" t="str">
        <f t="shared" si="11"/>
        <v>Jeunes Soldates Naines</v>
      </c>
    </row>
    <row r="42" spans="1:18">
      <c r="A42" s="46"/>
      <c r="B42" s="46"/>
      <c r="C42" s="46"/>
      <c r="D42" s="46"/>
      <c r="E42" s="46"/>
      <c r="F42" s="46"/>
      <c r="G42" s="46"/>
      <c r="H42" s="46"/>
      <c r="I42" s="46" t="s">
        <v>23</v>
      </c>
      <c r="J42" s="46">
        <f t="shared" si="9"/>
        <v>87</v>
      </c>
      <c r="K42" s="46">
        <f>IF(ISERROR(SEARCH(I42,'Mon armée'!A$7,(J42+LEN(M41)))),J42,SEARCH(I42,'Mon armée'!A$7,(J42+LEN(M41))))</f>
        <v>87</v>
      </c>
      <c r="L42" s="46">
        <f>IFERROR(MID('Mon armée'!A$7,(((Data!J42+2)+LEN(M41))-IF((M41=":"),2,0)),((((Data!K42-Data!J42)-3)+IF((M41=":"),2,0))-LEN(M41))),0)</f>
        <v>0</v>
      </c>
      <c r="M42" s="46" t="str">
        <f t="shared" si="10"/>
        <v>Concierges</v>
      </c>
      <c r="N42" s="46">
        <f>IFERROR(SEARCH(I42,'Mon armée'!A$7),0)</f>
        <v>0</v>
      </c>
      <c r="O42" s="46"/>
      <c r="P42" s="46" t="str">
        <f t="shared" si="8"/>
        <v>Concierges</v>
      </c>
      <c r="Q42" s="46"/>
      <c r="R42" s="46" t="str">
        <f t="shared" si="11"/>
        <v>Jeunes Soldates Naines</v>
      </c>
    </row>
    <row r="43" spans="1:18">
      <c r="A43" s="46"/>
      <c r="B43" s="46"/>
      <c r="C43" s="46"/>
      <c r="D43" s="46" t="s">
        <v>68</v>
      </c>
      <c r="E43" s="46"/>
      <c r="F43" s="46"/>
      <c r="G43" s="46"/>
      <c r="H43" s="46"/>
      <c r="I43" s="46" t="s">
        <v>25</v>
      </c>
      <c r="J43" s="46">
        <f t="shared" si="9"/>
        <v>87</v>
      </c>
      <c r="K43" s="46">
        <f>IF((N43=0),J43,IF(ISERROR(SEARCH(I43,'Mon armée'!A$7,(J43+LEN(M42)))),J43,SEARCH(I43,'Mon armée'!A$7,(J43+LEN(M42)))))</f>
        <v>87</v>
      </c>
      <c r="L43" s="46">
        <f>IFERROR(MID('Mon armée'!A$7,(((Data!J43+2)+LEN(M42))-IF((M42=":"),2,0)),((((Data!K43-Data!J43)-3)+IF((M42=":"),2,0))-LEN(M42))),0)</f>
        <v>0</v>
      </c>
      <c r="M43" s="46" t="str">
        <f t="shared" si="10"/>
        <v>Concierges</v>
      </c>
      <c r="N43" s="46">
        <f>IF((IFERROR(SEARCH(I43,'Mon armée'!A$7),0)=N44),0,IFERROR(SEARCH(I43,'Mon armée'!A$7),0))</f>
        <v>0</v>
      </c>
      <c r="O43" s="46"/>
      <c r="P43" s="46" t="str">
        <f t="shared" si="8"/>
        <v>Concierges</v>
      </c>
      <c r="Q43" s="46"/>
      <c r="R43" s="46" t="str">
        <f t="shared" si="11"/>
        <v>Jeunes Soldates Naines</v>
      </c>
    </row>
    <row r="44" spans="1:18">
      <c r="A44" s="46"/>
      <c r="B44" s="46"/>
      <c r="C44" s="46"/>
      <c r="D44" s="46"/>
      <c r="E44" s="46"/>
      <c r="F44" s="46"/>
      <c r="G44" s="46"/>
      <c r="H44" s="46"/>
      <c r="I44" s="46" t="s">
        <v>28</v>
      </c>
      <c r="J44" s="46">
        <f t="shared" si="9"/>
        <v>87</v>
      </c>
      <c r="K44" s="46">
        <f>IF(ISERROR(SEARCH(I44,'Mon armée'!A$7,(J44+LEN(M43)))),J44,SEARCH(I44,'Mon armée'!A$7,(J44+LEN(M43))))</f>
        <v>107</v>
      </c>
      <c r="L44" s="46" t="str">
        <f>IFERROR(MID('Mon armée'!A$7,(((Data!J44+2)+LEN(M43))-IF((M43=":"),2,0)),((((Data!K44-Data!J44)-3)+IF((M43=":"),2,0))-LEN(M43))),0)</f>
        <v>100 000</v>
      </c>
      <c r="M44" s="46" t="str">
        <f t="shared" si="10"/>
        <v>Artilleuses d'élites</v>
      </c>
      <c r="N44" s="46">
        <f>IFERROR(SEARCH(I44,'Mon armée'!A$7),0)</f>
        <v>107</v>
      </c>
      <c r="O44" s="46"/>
      <c r="P44" s="46" t="str">
        <f t="shared" si="8"/>
        <v>Artilleuses d'élites</v>
      </c>
      <c r="Q44" s="46"/>
      <c r="R44" s="46" t="str">
        <f t="shared" si="11"/>
        <v>Jeunes Soldates Naines</v>
      </c>
    </row>
    <row r="45" spans="1:18">
      <c r="A45" s="46"/>
      <c r="B45" s="46"/>
      <c r="C45" s="46"/>
      <c r="D45" s="46"/>
      <c r="E45" s="46"/>
      <c r="F45" s="46"/>
      <c r="G45" s="46"/>
      <c r="H45" s="46"/>
      <c r="I45" s="46" t="s">
        <v>29</v>
      </c>
      <c r="J45" s="46">
        <f t="shared" si="9"/>
        <v>107</v>
      </c>
      <c r="K45" s="46">
        <f>IF(ISERROR(SEARCH(I45,'Mon armée'!A$7,(J45+LEN(M44)))),J45,SEARCH(I45,'Mon armée'!A$7,(J45+LEN(M44))))</f>
        <v>107</v>
      </c>
      <c r="L45" s="46">
        <f>IFERROR(MID('Mon armée'!A$7,(((Data!J45+2)+LEN(M44))-IF((M44=":"),2,0)),((((Data!K45-Data!J45)-3)+IF((M44=":"),2,0))-LEN(M44))),0)</f>
        <v>0</v>
      </c>
      <c r="M45" s="46" t="str">
        <f t="shared" si="10"/>
        <v>Artilleuses d'élites</v>
      </c>
      <c r="N45" s="46">
        <f>IFERROR(SEARCH(I45,'Mon armée'!A$7),0)</f>
        <v>0</v>
      </c>
      <c r="O45" s="46"/>
      <c r="P45" s="46" t="str">
        <f t="shared" si="8"/>
        <v>Artilleuses d'élites</v>
      </c>
      <c r="Q45" s="46"/>
      <c r="R45" s="46" t="str">
        <f t="shared" si="11"/>
        <v>Jeunes Soldates Naines</v>
      </c>
    </row>
    <row r="46" spans="1:18">
      <c r="A46" s="46"/>
      <c r="B46" s="46"/>
      <c r="C46" s="46"/>
      <c r="D46" s="46"/>
      <c r="E46" s="46"/>
      <c r="F46" s="46"/>
      <c r="G46" s="46"/>
      <c r="H46" s="46"/>
      <c r="I46" s="46" t="s">
        <v>31</v>
      </c>
      <c r="J46" s="46">
        <f t="shared" si="9"/>
        <v>107</v>
      </c>
      <c r="K46" s="46">
        <f>IF((N46=0),J46,IF(ISERROR(SEARCH(I46,'Mon armée'!A$7,(J46+LEN(M45)))),J46,SEARCH(I46,'Mon armée'!A$7,(J46+LEN(M45)))))</f>
        <v>140</v>
      </c>
      <c r="L46" s="46" t="str">
        <f>IFERROR(MID('Mon armée'!A$7,(((Data!J46+2)+LEN(M45))-IF((M45=":"),2,0)),((((Data!K46-Data!J46)-3)+IF((M45=":"),2,0))-LEN(M45))),0)</f>
        <v>13 371 657</v>
      </c>
      <c r="M46" s="46" t="str">
        <f t="shared" si="10"/>
        <v>Tanks</v>
      </c>
      <c r="N46" s="46">
        <f>IF((IFERROR(SEARCH(I46,'Mon armée'!A$7),0)=N47),0,IFERROR(SEARCH(I46,'Mon armée'!A$7),0))</f>
        <v>140</v>
      </c>
      <c r="O46" s="46"/>
      <c r="P46" s="46" t="str">
        <f t="shared" si="8"/>
        <v>Tanks</v>
      </c>
      <c r="Q46" s="46"/>
      <c r="R46" s="46" t="str">
        <f t="shared" si="11"/>
        <v>Jeunes Soldates Naines</v>
      </c>
    </row>
    <row r="47" spans="1:18">
      <c r="A47" s="46"/>
      <c r="B47" s="46"/>
      <c r="C47" s="46"/>
      <c r="D47" s="46"/>
      <c r="E47" s="46"/>
      <c r="F47" s="46"/>
      <c r="G47" s="46"/>
      <c r="H47" s="46"/>
      <c r="I47" s="46" t="s">
        <v>32</v>
      </c>
      <c r="J47" s="46">
        <f t="shared" si="9"/>
        <v>140</v>
      </c>
      <c r="K47" s="46">
        <f>IF(ISERROR(SEARCH(I47,'Mon armée'!A$7,(J47+LEN(M46)))),J47,SEARCH(I47,'Mon armée'!A$7,(J47+LEN(M46))))</f>
        <v>154</v>
      </c>
      <c r="L47" s="46" t="str">
        <f>IFERROR(MID('Mon armée'!A$7,(((Data!J47+2)+LEN(M46))-IF((M46=":"),2,0)),((((Data!K47-Data!J47)-3)+IF((M46=":"),2,0))-LEN(M46))),0)</f>
        <v>18 013</v>
      </c>
      <c r="M47" s="46" t="str">
        <f t="shared" si="10"/>
        <v>Tanks d'élites</v>
      </c>
      <c r="N47" s="46">
        <f>IFERROR(SEARCH(I47,'Mon armée'!A$7),0)</f>
        <v>154</v>
      </c>
      <c r="O47" s="46"/>
      <c r="P47" s="46" t="str">
        <f t="shared" si="8"/>
        <v>Tanks d'élites</v>
      </c>
      <c r="Q47" s="46"/>
      <c r="R47" s="46" t="str">
        <f t="shared" si="11"/>
        <v>Jeunes Soldates Naines</v>
      </c>
    </row>
    <row r="48" spans="1:18">
      <c r="A48" s="46"/>
      <c r="B48" s="46"/>
      <c r="C48" s="46"/>
      <c r="D48" s="46"/>
      <c r="E48" s="46"/>
      <c r="F48" s="46"/>
      <c r="G48" s="46"/>
      <c r="H48" s="46"/>
      <c r="I48" s="46" t="s">
        <v>33</v>
      </c>
      <c r="J48" s="46">
        <f t="shared" si="9"/>
        <v>154</v>
      </c>
      <c r="K48" s="46">
        <f>IF((N48=0),J48,IF(ISERROR(SEARCH(I48,'Mon armée'!A$7,(J48+LEN(M47)))),J48,SEARCH(I48,'Mon armée'!A$7,(J48+LEN(M47)))))</f>
        <v>181</v>
      </c>
      <c r="L48" s="46" t="str">
        <f>IFERROR(MID('Mon armée'!A$7,(((Data!J48+2)+LEN(M47))-IF((M47=":"),2,0)),((((Data!K48-Data!J48)-3)+IF((M47=":"),2,0))-LEN(M47))),0)</f>
        <v>13 160 326</v>
      </c>
      <c r="M48" s="46" t="str">
        <f t="shared" si="10"/>
        <v>Tueuses</v>
      </c>
      <c r="N48" s="46">
        <f>IF((IFERROR(SEARCH(I48,'Mon armée'!A$7),0)=N49),0,IFERROR(SEARCH(I48,'Mon armée'!A$7),0))</f>
        <v>181</v>
      </c>
      <c r="O48" s="46"/>
      <c r="P48" s="46" t="str">
        <f t="shared" si="8"/>
        <v>Tueuses</v>
      </c>
      <c r="Q48" s="46"/>
      <c r="R48" s="46" t="str">
        <f t="shared" si="11"/>
        <v>Jeunes Soldates Naines</v>
      </c>
    </row>
    <row r="49" spans="1:18">
      <c r="A49" s="46"/>
      <c r="B49" s="46"/>
      <c r="C49" s="46"/>
      <c r="D49" s="46"/>
      <c r="E49" s="46"/>
      <c r="F49" s="46"/>
      <c r="G49" s="46"/>
      <c r="H49" s="46"/>
      <c r="I49" s="46" t="s">
        <v>34</v>
      </c>
      <c r="J49" s="46">
        <f t="shared" si="9"/>
        <v>181</v>
      </c>
      <c r="K49" s="46">
        <f>IF(ISERROR(SEARCH(I49,'Mon armée'!A$7,(J49+LEN(M48)))),J49,SEARCH(I49,'Mon armée'!A$7,(J49+LEN(M48))))</f>
        <v>197</v>
      </c>
      <c r="L49" s="46" t="str">
        <f>IFERROR(MID('Mon armée'!A$7,(((Data!J49+2)+LEN(M48))-IF((M48=":"),2,0)),((((Data!K49-Data!J49)-3)+IF((M48=":"),2,0))-LEN(M48))),0)</f>
        <v>22 369</v>
      </c>
      <c r="M49" s="46" t="str">
        <f t="shared" si="10"/>
        <v>Tueuses d'élites</v>
      </c>
      <c r="N49" s="46">
        <f>IFERROR(SEARCH(I49,'Mon armée'!A$7),0)</f>
        <v>197</v>
      </c>
      <c r="O49" s="46"/>
      <c r="P49" s="46" t="str">
        <f t="shared" si="8"/>
        <v>Tueuses d'élites</v>
      </c>
      <c r="Q49" s="46"/>
      <c r="R49" s="46" t="str">
        <f t="shared" si="11"/>
        <v>Jeunes Soldates Naines</v>
      </c>
    </row>
    <row r="50" spans="1:18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</row>
    <row r="51" spans="1:18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</row>
    <row r="52" spans="1:18">
      <c r="A52" s="46"/>
      <c r="B52" s="46"/>
      <c r="C52" s="46"/>
      <c r="D52" s="46"/>
      <c r="E52" s="46"/>
      <c r="F52" s="46"/>
      <c r="G52" s="46" t="s">
        <v>67</v>
      </c>
      <c r="H52" s="46" t="s">
        <v>6</v>
      </c>
      <c r="I52" s="46" t="s">
        <v>55</v>
      </c>
      <c r="J52" s="46" t="s">
        <v>56</v>
      </c>
      <c r="K52" s="46" t="s">
        <v>57</v>
      </c>
      <c r="L52" s="46" t="s">
        <v>58</v>
      </c>
      <c r="M52" s="46" t="s">
        <v>59</v>
      </c>
      <c r="N52" s="46" t="s">
        <v>60</v>
      </c>
      <c r="O52" s="46"/>
      <c r="P52" s="46"/>
      <c r="Q52" s="46"/>
      <c r="R52" s="46"/>
    </row>
    <row r="53" spans="1:18">
      <c r="A53" s="46"/>
      <c r="B53" s="46"/>
      <c r="C53" s="46"/>
      <c r="D53" s="46"/>
      <c r="E53" s="46"/>
      <c r="F53" s="46"/>
      <c r="G53" s="46"/>
      <c r="H53" s="46"/>
      <c r="I53" s="46" t="s">
        <v>10</v>
      </c>
      <c r="J53" s="46">
        <f>SEARCH(":",'Mon armée'!A$8)</f>
        <v>19</v>
      </c>
      <c r="K53" s="46">
        <f>IF(ISERROR(SEARCH(I53,'Mon armée'!A$8)),J53,SEARCH(I53,'Mon armée'!A$8))</f>
        <v>19</v>
      </c>
      <c r="L53" s="46">
        <f>IFERROR(MID('Mon armée'!A$8,(Data!J53+1),((Data!K53-Data!J53)-2)),0)</f>
        <v>0</v>
      </c>
      <c r="M53" s="46" t="str">
        <f>IF((L53&lt;&gt;0),I53,":")</f>
        <v>:</v>
      </c>
      <c r="N53" s="46">
        <f>IFERROR(SEARCH(I53,'Mon armée'!A$8),0)</f>
        <v>0</v>
      </c>
      <c r="O53" s="46"/>
      <c r="P53" s="46" t="str">
        <f t="shared" ref="P53:P66" si="12">IF((M53=":"),":",M53)</f>
        <v>:</v>
      </c>
      <c r="Q53" s="46"/>
      <c r="R53" s="46"/>
    </row>
    <row r="54" spans="1:18">
      <c r="A54" s="46"/>
      <c r="B54" s="46"/>
      <c r="C54" s="46"/>
      <c r="D54" s="46"/>
      <c r="E54" s="46"/>
      <c r="F54" s="46"/>
      <c r="G54" s="46"/>
      <c r="H54" s="46"/>
      <c r="I54" s="46" t="s">
        <v>12</v>
      </c>
      <c r="J54" s="46">
        <f t="shared" ref="J54:J66" si="13">K53</f>
        <v>19</v>
      </c>
      <c r="K54" s="46">
        <f>IF(ISERROR(SEARCH(I54,'Mon armée'!$A$8,(J54+LEN(M53)))),J54,SEARCH(I54,'Mon armée'!$A$8,(J54+LEN(M53))))</f>
        <v>19</v>
      </c>
      <c r="L54" s="46">
        <f>IFERROR(MID('Mon armée'!A$8,(((Data!J54+2)+LEN(M53))-IF((M53=":"),2,0)),((((Data!K54-Data!J54)-3)+IF((M53=":"),2,0))-LEN(M53))),0)</f>
        <v>0</v>
      </c>
      <c r="M54" s="46" t="str">
        <f t="shared" ref="M54:M66" si="14">IF((L54&lt;&gt;0),I54,M53)</f>
        <v>:</v>
      </c>
      <c r="N54" s="46">
        <f>IFERROR(SEARCH(I54,'Mon armée'!A$8),0)</f>
        <v>0</v>
      </c>
      <c r="O54" s="46"/>
      <c r="P54" s="46" t="str">
        <f t="shared" si="12"/>
        <v>:</v>
      </c>
      <c r="Q54" s="46"/>
      <c r="R54" s="46" t="str">
        <f>IF((L53=0),M54,I53)</f>
        <v>:</v>
      </c>
    </row>
    <row r="55" spans="1:18">
      <c r="A55" s="46"/>
      <c r="B55" s="46"/>
      <c r="C55" s="46"/>
      <c r="D55" s="46"/>
      <c r="E55" s="46"/>
      <c r="F55" s="46"/>
      <c r="G55" s="46"/>
      <c r="H55" s="46"/>
      <c r="I55" s="46" t="s">
        <v>14</v>
      </c>
      <c r="J55" s="46">
        <f t="shared" si="13"/>
        <v>19</v>
      </c>
      <c r="K55" s="46">
        <f>IF(ISERROR(SEARCH(I55,'Mon armée'!$A$8,(J55+LEN(M54)))),J55,SEARCH(I55,'Mon armée'!$A$8,(J55+LEN(M54))))</f>
        <v>19</v>
      </c>
      <c r="L55" s="46">
        <f>IFERROR(MID('Mon armée'!A$8,(((Data!J55+2)+LEN(M54))-IF((M54=":"),2,0)),((((Data!K55-Data!J55)-3)+IF((M54=":"),2,0))-LEN(M54))),0)</f>
        <v>0</v>
      </c>
      <c r="M55" s="46" t="str">
        <f t="shared" si="14"/>
        <v>:</v>
      </c>
      <c r="N55" s="46">
        <f>IFERROR(SEARCH(I55,'Mon armée'!A$8),0)</f>
        <v>0</v>
      </c>
      <c r="O55" s="46"/>
      <c r="P55" s="46" t="str">
        <f t="shared" si="12"/>
        <v>:</v>
      </c>
      <c r="Q55" s="46"/>
      <c r="R55" s="46" t="e">
        <f t="shared" ref="R55:R66" si="15">IF((VLOOKUP(R54,$I$53:$L$66,4,FALSE)=0),M55,$I$53)</f>
        <v>#N/A</v>
      </c>
    </row>
    <row r="56" spans="1:18">
      <c r="A56" s="46"/>
      <c r="B56" s="46"/>
      <c r="C56" s="46"/>
      <c r="D56" s="46"/>
      <c r="E56" s="46"/>
      <c r="F56" s="46"/>
      <c r="G56" s="46"/>
      <c r="H56" s="46"/>
      <c r="I56" s="46" t="s">
        <v>16</v>
      </c>
      <c r="J56" s="46">
        <f t="shared" si="13"/>
        <v>19</v>
      </c>
      <c r="K56" s="46">
        <f>IF(ISERROR(SEARCH(I56,'Mon armée'!$A$8,(J56+LEN(M55)))),J56,SEARCH(I56,'Mon armée'!$A$8,(J56+LEN(M55))))</f>
        <v>19</v>
      </c>
      <c r="L56" s="46">
        <f>IFERROR(MID('Mon armée'!A$8,(((Data!J56+2)+LEN(M55))-IF((M55=":"),2,0)),((((Data!K56-Data!J56)-3)+IF((M55=":"),2,0))-LEN(M55))),0)</f>
        <v>0</v>
      </c>
      <c r="M56" s="46" t="str">
        <f t="shared" si="14"/>
        <v>:</v>
      </c>
      <c r="N56" s="46">
        <f>IFERROR(SEARCH(I56,'Mon armée'!A$8),0)</f>
        <v>0</v>
      </c>
      <c r="O56" s="46"/>
      <c r="P56" s="46" t="str">
        <f t="shared" si="12"/>
        <v>:</v>
      </c>
      <c r="Q56" s="46"/>
      <c r="R56" s="46" t="e">
        <f t="shared" si="15"/>
        <v>#N/A</v>
      </c>
    </row>
    <row r="57" spans="1:18">
      <c r="A57" s="46"/>
      <c r="B57" s="46"/>
      <c r="C57" s="46"/>
      <c r="D57" s="46"/>
      <c r="E57" s="46"/>
      <c r="F57" s="46"/>
      <c r="G57" s="46"/>
      <c r="H57" s="46"/>
      <c r="I57" s="46" t="s">
        <v>19</v>
      </c>
      <c r="J57" s="46">
        <f t="shared" si="13"/>
        <v>19</v>
      </c>
      <c r="K57" s="46">
        <f>IF((N57=0),J57,IF(ISERROR(SEARCH(I57,'Mon armée'!$A$8,(J57+LEN(M56)))),J57,SEARCH(I57,'Mon armée'!$A$8,(J57+LEN(M56)))))</f>
        <v>19</v>
      </c>
      <c r="L57" s="46">
        <f>IFERROR(MID('Mon armée'!A$8,(((Data!J57+2)+LEN(M56))-IF((M56=":"),2,0)),((((Data!K57-Data!J57)-3)+IF((M56=":"),2,0))-LEN(M56))),0)</f>
        <v>0</v>
      </c>
      <c r="M57" s="46" t="str">
        <f t="shared" si="14"/>
        <v>:</v>
      </c>
      <c r="N57" s="46">
        <f>IF((IFERROR(SEARCH(I57,'Mon armée'!A$8),0)=N62),0,IFERROR(SEARCH(I57,'Mon armée'!A$8),0))</f>
        <v>0</v>
      </c>
      <c r="O57" s="46"/>
      <c r="P57" s="46" t="str">
        <f t="shared" si="12"/>
        <v>:</v>
      </c>
      <c r="Q57" s="46"/>
      <c r="R57" s="46" t="e">
        <f t="shared" si="15"/>
        <v>#N/A</v>
      </c>
    </row>
    <row r="58" spans="1:18">
      <c r="A58" s="46"/>
      <c r="B58" s="46"/>
      <c r="C58" s="46"/>
      <c r="D58" s="46"/>
      <c r="E58" s="46"/>
      <c r="F58" s="46"/>
      <c r="G58" s="46"/>
      <c r="H58" s="46"/>
      <c r="I58" s="46" t="s">
        <v>20</v>
      </c>
      <c r="J58" s="46">
        <f t="shared" si="13"/>
        <v>19</v>
      </c>
      <c r="K58" s="46">
        <f>IF((N58=0),J58,IF(ISERROR(SEARCH(I58,'Mon armée'!$A$8,(J58+LEN(M57)))),J58,SEARCH(I58,'Mon armée'!$A$8,(J58+LEN(M57)))))</f>
        <v>19</v>
      </c>
      <c r="L58" s="46">
        <f>IFERROR(MID('Mon armée'!A$8,(((Data!J58+2)+LEN(M57))-IF((M57=":"),2,0)),((((Data!K58-Data!J58)-3)+IF((M57=":"),2,0))-LEN(M57))),0)</f>
        <v>0</v>
      </c>
      <c r="M58" s="46" t="str">
        <f t="shared" si="14"/>
        <v>:</v>
      </c>
      <c r="N58" s="46">
        <f>IF((IFERROR(SEARCH(I58,'Mon armée'!A$8),0)=N59),0,IFERROR(SEARCH(I58,'Mon armée'!A$8),0))</f>
        <v>0</v>
      </c>
      <c r="O58" s="46"/>
      <c r="P58" s="46" t="str">
        <f t="shared" si="12"/>
        <v>:</v>
      </c>
      <c r="Q58" s="46"/>
      <c r="R58" s="46" t="e">
        <f t="shared" si="15"/>
        <v>#N/A</v>
      </c>
    </row>
    <row r="59" spans="1:18">
      <c r="A59" s="46"/>
      <c r="B59" s="46"/>
      <c r="C59" s="46"/>
      <c r="D59" s="46"/>
      <c r="E59" s="46"/>
      <c r="F59" s="46"/>
      <c r="G59" s="46"/>
      <c r="H59" s="46"/>
      <c r="I59" s="46" t="s">
        <v>23</v>
      </c>
      <c r="J59" s="46">
        <f t="shared" si="13"/>
        <v>19</v>
      </c>
      <c r="K59" s="46">
        <f>IF(ISERROR(SEARCH(I59,'Mon armée'!$A$8,(J59+LEN(M58)))),J59,SEARCH(I59,'Mon armée'!$A$8,(J59+LEN(M58))))</f>
        <v>19</v>
      </c>
      <c r="L59" s="46">
        <f>IFERROR(MID('Mon armée'!A$8,(((Data!J59+2)+LEN(M58))-IF((M58=":"),2,0)),((((Data!K59-Data!J59)-3)+IF((M58=":"),2,0))-LEN(M58))),0)</f>
        <v>0</v>
      </c>
      <c r="M59" s="46" t="str">
        <f t="shared" si="14"/>
        <v>:</v>
      </c>
      <c r="N59" s="46">
        <f>IFERROR(SEARCH(I59,'Mon armée'!A$8),0)</f>
        <v>0</v>
      </c>
      <c r="O59" s="46"/>
      <c r="P59" s="46" t="str">
        <f t="shared" si="12"/>
        <v>:</v>
      </c>
      <c r="Q59" s="46"/>
      <c r="R59" s="46" t="e">
        <f t="shared" si="15"/>
        <v>#N/A</v>
      </c>
    </row>
    <row r="60" spans="1:18">
      <c r="A60" s="46"/>
      <c r="B60" s="46"/>
      <c r="C60" s="46"/>
      <c r="D60" s="46"/>
      <c r="E60" s="46"/>
      <c r="F60" s="46"/>
      <c r="G60" s="46"/>
      <c r="H60" s="46"/>
      <c r="I60" s="46" t="s">
        <v>25</v>
      </c>
      <c r="J60" s="46">
        <f t="shared" si="13"/>
        <v>19</v>
      </c>
      <c r="K60" s="46">
        <f>IF(ISERROR(SEARCH(I60,'Mon armée'!$A$8,(J60+LEN(M59)))),J60,SEARCH(I60,'Mon armée'!$A$8,(J60+LEN(M59))))</f>
        <v>19</v>
      </c>
      <c r="L60" s="46">
        <f>IFERROR(MID('Mon armée'!A$8,(((Data!J60+2)+LEN(M59))-IF((M59=":"),2,0)),((((Data!K60-Data!J60)-3)+IF((M59=":"),2,0))-LEN(M59))),0)</f>
        <v>0</v>
      </c>
      <c r="M60" s="46" t="str">
        <f t="shared" si="14"/>
        <v>:</v>
      </c>
      <c r="N60" s="46">
        <f>IF((IFERROR(SEARCH(I60,'Mon armée'!A$8),0)=N61),0,IFERROR(SEARCH(I60,'Mon armée'!A$8),0))</f>
        <v>0</v>
      </c>
      <c r="O60" s="46"/>
      <c r="P60" s="46" t="str">
        <f t="shared" si="12"/>
        <v>:</v>
      </c>
      <c r="Q60" s="46"/>
      <c r="R60" s="46" t="e">
        <f t="shared" si="15"/>
        <v>#N/A</v>
      </c>
    </row>
    <row r="61" spans="1:18">
      <c r="A61" s="46"/>
      <c r="B61" s="46"/>
      <c r="C61" s="46"/>
      <c r="D61" s="46"/>
      <c r="E61" s="46"/>
      <c r="F61" s="46"/>
      <c r="G61" s="46"/>
      <c r="H61" s="46"/>
      <c r="I61" s="46" t="s">
        <v>28</v>
      </c>
      <c r="J61" s="46">
        <f t="shared" si="13"/>
        <v>19</v>
      </c>
      <c r="K61" s="46">
        <f>IF(ISERROR(SEARCH(I61,'Mon armée'!$A$8,(J61+LEN(M60)))),J61,SEARCH(I61,'Mon armée'!$A$8,(J61+LEN(M60))))</f>
        <v>19</v>
      </c>
      <c r="L61" s="46">
        <f>IFERROR(MID('Mon armée'!A$8,(((Data!J61+2)+LEN(M60))-IF((M60=":"),2,0)),((((Data!K61-Data!J61)-3)+IF((M60=":"),2,0))-LEN(M60))),0)</f>
        <v>0</v>
      </c>
      <c r="M61" s="46" t="str">
        <f t="shared" si="14"/>
        <v>:</v>
      </c>
      <c r="N61" s="46">
        <f>IFERROR(SEARCH(I61,'Mon armée'!A$8),0)</f>
        <v>0</v>
      </c>
      <c r="O61" s="46"/>
      <c r="P61" s="46" t="str">
        <f t="shared" si="12"/>
        <v>:</v>
      </c>
      <c r="Q61" s="46"/>
      <c r="R61" s="46" t="e">
        <f t="shared" si="15"/>
        <v>#N/A</v>
      </c>
    </row>
    <row r="62" spans="1:18">
      <c r="A62" s="46"/>
      <c r="B62" s="46"/>
      <c r="C62" s="46"/>
      <c r="D62" s="46"/>
      <c r="E62" s="46"/>
      <c r="F62" s="46"/>
      <c r="G62" s="46"/>
      <c r="H62" s="46"/>
      <c r="I62" s="46" t="s">
        <v>29</v>
      </c>
      <c r="J62" s="46">
        <f t="shared" si="13"/>
        <v>19</v>
      </c>
      <c r="K62" s="46">
        <f>IF(ISERROR(SEARCH(I62,'Mon armée'!$A$8,(J62+LEN(M61)))),J62,SEARCH(I62,'Mon armée'!$A$8,(J62+LEN(M61))))</f>
        <v>19</v>
      </c>
      <c r="L62" s="46">
        <f>IFERROR(MID('Mon armée'!A$8,(((Data!J62+2)+LEN(M61))-IF((M61=":"),2,0)),((((Data!K62-Data!J62)-3)+IF((M61=":"),2,0))-LEN(M61))),0)</f>
        <v>0</v>
      </c>
      <c r="M62" s="46" t="str">
        <f t="shared" si="14"/>
        <v>:</v>
      </c>
      <c r="N62" s="46">
        <f>IFERROR(SEARCH(I62,'Mon armée'!A$8),0)</f>
        <v>0</v>
      </c>
      <c r="O62" s="46"/>
      <c r="P62" s="46" t="str">
        <f t="shared" si="12"/>
        <v>:</v>
      </c>
      <c r="Q62" s="46"/>
      <c r="R62" s="46" t="e">
        <f t="shared" si="15"/>
        <v>#N/A</v>
      </c>
    </row>
    <row r="63" spans="1:18">
      <c r="A63" s="46"/>
      <c r="B63" s="46"/>
      <c r="C63" s="46"/>
      <c r="D63" s="46"/>
      <c r="E63" s="46"/>
      <c r="F63" s="46"/>
      <c r="G63" s="46"/>
      <c r="H63" s="46"/>
      <c r="I63" s="46" t="s">
        <v>31</v>
      </c>
      <c r="J63" s="46">
        <f t="shared" si="13"/>
        <v>19</v>
      </c>
      <c r="K63" s="46">
        <f>IF((N63=0),J63,IF(ISERROR(SEARCH(I63,'Mon armée'!$A$8,(J63+LEN(M62)))),J63,SEARCH(I63,'Mon armée'!$A$8,(J63+LEN(M62)))))</f>
        <v>19</v>
      </c>
      <c r="L63" s="46">
        <f>IFERROR(MID('Mon armée'!A$8,(((Data!J63+2)+LEN(M62))-IF((M62=":"),2,0)),((((Data!K63-Data!J63)-3)+IF((M62=":"),2,0))-LEN(M62))),0)</f>
        <v>0</v>
      </c>
      <c r="M63" s="46" t="str">
        <f t="shared" si="14"/>
        <v>:</v>
      </c>
      <c r="N63" s="46">
        <f>IF((IFERROR(SEARCH(I63,'Mon armée'!A$8),0)=N64),0,IFERROR(SEARCH(I63,'Mon armée'!A$8),0))</f>
        <v>0</v>
      </c>
      <c r="O63" s="46"/>
      <c r="P63" s="46" t="str">
        <f t="shared" si="12"/>
        <v>:</v>
      </c>
      <c r="Q63" s="46"/>
      <c r="R63" s="46" t="e">
        <f t="shared" si="15"/>
        <v>#N/A</v>
      </c>
    </row>
    <row r="64" spans="1:18">
      <c r="A64" s="46"/>
      <c r="B64" s="46"/>
      <c r="C64" s="46"/>
      <c r="D64" s="46"/>
      <c r="E64" s="46"/>
      <c r="F64" s="46"/>
      <c r="G64" s="46"/>
      <c r="H64" s="46"/>
      <c r="I64" s="46" t="s">
        <v>32</v>
      </c>
      <c r="J64" s="46">
        <f t="shared" si="13"/>
        <v>19</v>
      </c>
      <c r="K64" s="46">
        <f>IF(ISERROR(SEARCH(I64,'Mon armée'!$A$8,(J64+LEN(M63)))),J64,SEARCH(I64,'Mon armée'!$A$8,(J64+LEN(M63))))</f>
        <v>19</v>
      </c>
      <c r="L64" s="46">
        <f>IFERROR(MID('Mon armée'!A$8,(((Data!J64+2)+LEN(M63))-IF((M63=":"),2,0)),((((Data!K64-Data!J64)-3)+IF((M63=":"),2,0))-LEN(M63))),0)</f>
        <v>0</v>
      </c>
      <c r="M64" s="46" t="str">
        <f t="shared" si="14"/>
        <v>:</v>
      </c>
      <c r="N64" s="46">
        <f>IFERROR(SEARCH(I64,'Mon armée'!A$8),0)</f>
        <v>0</v>
      </c>
      <c r="O64" s="46"/>
      <c r="P64" s="46" t="str">
        <f t="shared" si="12"/>
        <v>:</v>
      </c>
      <c r="Q64" s="46"/>
      <c r="R64" s="46" t="e">
        <f t="shared" si="15"/>
        <v>#N/A</v>
      </c>
    </row>
    <row r="65" spans="1:18">
      <c r="A65" s="46"/>
      <c r="B65" s="46"/>
      <c r="C65" s="46"/>
      <c r="D65" s="46"/>
      <c r="E65" s="46"/>
      <c r="F65" s="46"/>
      <c r="G65" s="46"/>
      <c r="H65" s="46"/>
      <c r="I65" s="46" t="s">
        <v>33</v>
      </c>
      <c r="J65" s="46">
        <f t="shared" si="13"/>
        <v>19</v>
      </c>
      <c r="K65" s="46">
        <f>IF((N65=0),J65,IF(ISERROR(SEARCH(I65,'Mon armée'!$A$8,(J65+LEN(M64)))),J65,SEARCH(I65,'Mon armée'!$A$8,(J65+LEN(M64)))))</f>
        <v>19</v>
      </c>
      <c r="L65" s="46">
        <f>IFERROR(MID('Mon armée'!A$8,(((Data!J65+2)+LEN(M64))-IF((M64=":"),2,0)),((((Data!K65-Data!J65)-3)+IF((M64=":"),2,0))-LEN(M64))),0)</f>
        <v>0</v>
      </c>
      <c r="M65" s="46" t="str">
        <f t="shared" si="14"/>
        <v>:</v>
      </c>
      <c r="N65" s="46">
        <f>IF((IFERROR(SEARCH(I65,'Mon armée'!A$8),0)=N66),0,IFERROR(SEARCH(I65,'Mon armée'!A$8),0))</f>
        <v>0</v>
      </c>
      <c r="O65" s="46"/>
      <c r="P65" s="46" t="str">
        <f t="shared" si="12"/>
        <v>:</v>
      </c>
      <c r="Q65" s="46"/>
      <c r="R65" s="46" t="e">
        <f t="shared" si="15"/>
        <v>#N/A</v>
      </c>
    </row>
    <row r="66" spans="1:18">
      <c r="A66" s="46"/>
      <c r="B66" s="46"/>
      <c r="C66" s="46"/>
      <c r="D66" s="46"/>
      <c r="E66" s="46"/>
      <c r="F66" s="46"/>
      <c r="G66" s="46"/>
      <c r="H66" s="46"/>
      <c r="I66" s="46" t="s">
        <v>34</v>
      </c>
      <c r="J66" s="46">
        <f t="shared" si="13"/>
        <v>19</v>
      </c>
      <c r="K66" s="46">
        <f>IF(ISERROR(SEARCH(I66,'Mon armée'!$A$8,(J66+LEN(M65)))),J66,SEARCH(I66,'Mon armée'!$A$8,(J66+LEN(M65))))</f>
        <v>19</v>
      </c>
      <c r="L66" s="46">
        <f>IFERROR(MID('Mon armée'!A$8,(((Data!J66+2)+LEN(M65))-IF((M65=":"),2,0)),((((Data!K66-Data!J66)-3)+IF((M65=":"),2,0))-LEN(M65))),0)</f>
        <v>0</v>
      </c>
      <c r="M66" s="46" t="str">
        <f t="shared" si="14"/>
        <v>:</v>
      </c>
      <c r="N66" s="46">
        <f>IFERROR(SEARCH(I66,'Mon armée'!A$8),0)</f>
        <v>0</v>
      </c>
      <c r="O66" s="46"/>
      <c r="P66" s="46" t="str">
        <f t="shared" si="12"/>
        <v>:</v>
      </c>
      <c r="Q66" s="46"/>
      <c r="R66" s="46" t="e">
        <f t="shared" si="15"/>
        <v>#N/A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2"/>
  <sheetViews>
    <sheetView workbookViewId="0"/>
  </sheetViews>
  <sheetFormatPr baseColWidth="10" defaultColWidth="12.109375" defaultRowHeight="14.25" customHeight="1"/>
  <cols>
    <col min="8" max="8" width="21.33203125" customWidth="1"/>
    <col min="9" max="9" width="19.6640625" customWidth="1"/>
    <col min="10" max="11" width="21.33203125" customWidth="1"/>
  </cols>
  <sheetData>
    <row r="1" spans="1:11">
      <c r="A1" s="12"/>
      <c r="B1" s="34" t="s">
        <v>52</v>
      </c>
      <c r="C1" s="34" t="s">
        <v>69</v>
      </c>
      <c r="D1" s="34" t="s">
        <v>70</v>
      </c>
      <c r="E1" s="34" t="s">
        <v>71</v>
      </c>
      <c r="F1" s="34" t="s">
        <v>72</v>
      </c>
      <c r="G1" s="34" t="s">
        <v>58</v>
      </c>
      <c r="H1" s="34" t="s">
        <v>73</v>
      </c>
      <c r="I1" s="34" t="s">
        <v>74</v>
      </c>
      <c r="J1" s="34" t="s">
        <v>75</v>
      </c>
      <c r="K1" s="34" t="s">
        <v>5</v>
      </c>
    </row>
    <row r="2" spans="1:11">
      <c r="A2" s="12"/>
      <c r="B2" s="34" t="s">
        <v>10</v>
      </c>
      <c r="C2" s="34">
        <v>3</v>
      </c>
      <c r="D2" s="34">
        <v>2</v>
      </c>
      <c r="E2" s="34">
        <v>8</v>
      </c>
      <c r="F2" s="34"/>
      <c r="G2" s="34">
        <f>Data!L2</f>
        <v>0</v>
      </c>
      <c r="H2" s="27">
        <f t="shared" ref="H2:H15" si="0">$G2*C2</f>
        <v>0</v>
      </c>
      <c r="I2" s="27">
        <f t="shared" ref="I2:I15" si="1">$G2*D2</f>
        <v>0</v>
      </c>
      <c r="J2" s="27">
        <f t="shared" ref="J2:J15" si="2">$G2*E2</f>
        <v>0</v>
      </c>
      <c r="K2" s="5">
        <f>SUM(H2:H15)</f>
        <v>1000</v>
      </c>
    </row>
    <row r="3" spans="1:11">
      <c r="A3" s="12"/>
      <c r="B3" s="34" t="s">
        <v>12</v>
      </c>
      <c r="C3" s="34">
        <v>5</v>
      </c>
      <c r="D3" s="34">
        <v>4</v>
      </c>
      <c r="E3" s="34">
        <v>10</v>
      </c>
      <c r="F3" s="34" t="s">
        <v>13</v>
      </c>
      <c r="G3" s="34">
        <f>Data!L3</f>
        <v>0</v>
      </c>
      <c r="H3" s="27">
        <f t="shared" si="0"/>
        <v>0</v>
      </c>
      <c r="I3" s="27">
        <f t="shared" si="1"/>
        <v>0</v>
      </c>
      <c r="J3" s="27">
        <f t="shared" si="2"/>
        <v>0</v>
      </c>
      <c r="K3" s="5" t="str">
        <f>Data!C18</f>
        <v>2 100</v>
      </c>
    </row>
    <row r="4" spans="1:11">
      <c r="A4" s="12"/>
      <c r="B4" s="34" t="s">
        <v>14</v>
      </c>
      <c r="C4" s="34">
        <v>7</v>
      </c>
      <c r="D4" s="34">
        <v>6</v>
      </c>
      <c r="E4" s="34">
        <v>13</v>
      </c>
      <c r="F4" s="27">
        <f>ROUND((K3/K2),1)*10</f>
        <v>21</v>
      </c>
      <c r="G4" s="34">
        <f>Data!L4</f>
        <v>0</v>
      </c>
      <c r="H4" s="27">
        <f t="shared" si="0"/>
        <v>0</v>
      </c>
      <c r="I4" s="27">
        <f t="shared" si="1"/>
        <v>0</v>
      </c>
      <c r="J4" s="27">
        <f t="shared" si="2"/>
        <v>0</v>
      </c>
      <c r="K4" s="17">
        <f>K2+K3</f>
        <v>3100</v>
      </c>
    </row>
    <row r="5" spans="1:11">
      <c r="A5" s="12"/>
      <c r="B5" s="34" t="s">
        <v>16</v>
      </c>
      <c r="C5" s="34">
        <v>10</v>
      </c>
      <c r="D5" s="34">
        <v>9</v>
      </c>
      <c r="E5" s="34">
        <v>16</v>
      </c>
      <c r="F5" s="34" t="s">
        <v>18</v>
      </c>
      <c r="G5" s="34" t="str">
        <f>Data!L5</f>
        <v>100</v>
      </c>
      <c r="H5" s="27">
        <f t="shared" si="0"/>
        <v>1000</v>
      </c>
      <c r="I5" s="27">
        <f t="shared" si="1"/>
        <v>900</v>
      </c>
      <c r="J5" s="27">
        <f t="shared" si="2"/>
        <v>1600</v>
      </c>
      <c r="K5" s="45"/>
    </row>
    <row r="6" spans="1:11">
      <c r="A6" s="12"/>
      <c r="B6" s="34" t="s">
        <v>19</v>
      </c>
      <c r="C6" s="34">
        <v>15</v>
      </c>
      <c r="D6" s="34">
        <v>14</v>
      </c>
      <c r="E6" s="34">
        <v>20</v>
      </c>
      <c r="F6" s="34"/>
      <c r="G6" s="34">
        <f>Data!L6</f>
        <v>0</v>
      </c>
      <c r="H6" s="27">
        <f t="shared" si="0"/>
        <v>0</v>
      </c>
      <c r="I6" s="27">
        <f t="shared" si="1"/>
        <v>0</v>
      </c>
      <c r="J6" s="27">
        <f t="shared" si="2"/>
        <v>0</v>
      </c>
      <c r="K6" s="33" t="s">
        <v>6</v>
      </c>
    </row>
    <row r="7" spans="1:11">
      <c r="A7" s="12"/>
      <c r="B7" s="34" t="s">
        <v>20</v>
      </c>
      <c r="C7" s="34">
        <v>1</v>
      </c>
      <c r="D7" s="34">
        <v>25</v>
      </c>
      <c r="E7" s="34">
        <v>30</v>
      </c>
      <c r="F7" s="19"/>
      <c r="G7" s="34">
        <f>Data!L7</f>
        <v>0</v>
      </c>
      <c r="H7" s="27">
        <f t="shared" si="0"/>
        <v>0</v>
      </c>
      <c r="I7" s="27">
        <f t="shared" si="1"/>
        <v>0</v>
      </c>
      <c r="J7" s="27">
        <f t="shared" si="2"/>
        <v>0</v>
      </c>
      <c r="K7" s="5">
        <f>SUM(I2:I15)</f>
        <v>900</v>
      </c>
    </row>
    <row r="8" spans="1:11">
      <c r="A8" s="12"/>
      <c r="B8" s="34" t="s">
        <v>23</v>
      </c>
      <c r="C8" s="34">
        <v>1</v>
      </c>
      <c r="D8" s="34">
        <v>35</v>
      </c>
      <c r="E8" s="34">
        <v>40</v>
      </c>
      <c r="F8" s="11"/>
      <c r="G8" s="34">
        <f>Data!L8</f>
        <v>0</v>
      </c>
      <c r="H8" s="27">
        <f t="shared" si="0"/>
        <v>0</v>
      </c>
      <c r="I8" s="27">
        <f t="shared" si="1"/>
        <v>0</v>
      </c>
      <c r="J8" s="27">
        <f t="shared" si="2"/>
        <v>0</v>
      </c>
      <c r="K8" s="5">
        <f>(K7*F4)/10</f>
        <v>1890</v>
      </c>
    </row>
    <row r="9" spans="1:11">
      <c r="A9" s="12"/>
      <c r="B9" s="34" t="s">
        <v>25</v>
      </c>
      <c r="C9" s="34">
        <v>30</v>
      </c>
      <c r="D9" s="34">
        <v>15</v>
      </c>
      <c r="E9" s="34">
        <v>10</v>
      </c>
      <c r="F9" s="11"/>
      <c r="G9" s="34">
        <f>Data!L9</f>
        <v>0</v>
      </c>
      <c r="H9" s="27">
        <f t="shared" si="0"/>
        <v>0</v>
      </c>
      <c r="I9" s="27">
        <f t="shared" si="1"/>
        <v>0</v>
      </c>
      <c r="J9" s="27">
        <f t="shared" si="2"/>
        <v>0</v>
      </c>
      <c r="K9" s="17">
        <f>K7+K8</f>
        <v>2790</v>
      </c>
    </row>
    <row r="10" spans="1:11">
      <c r="A10" s="12"/>
      <c r="B10" s="34" t="s">
        <v>28</v>
      </c>
      <c r="C10" s="34">
        <v>35</v>
      </c>
      <c r="D10" s="34">
        <v>18</v>
      </c>
      <c r="E10" s="34">
        <v>12</v>
      </c>
      <c r="F10" s="11"/>
      <c r="G10" s="34">
        <f>Data!L10</f>
        <v>0</v>
      </c>
      <c r="H10" s="27">
        <f t="shared" si="0"/>
        <v>0</v>
      </c>
      <c r="I10" s="27">
        <f t="shared" si="1"/>
        <v>0</v>
      </c>
      <c r="J10" s="27">
        <f t="shared" si="2"/>
        <v>0</v>
      </c>
      <c r="K10" s="16"/>
    </row>
    <row r="11" spans="1:11">
      <c r="A11" s="12"/>
      <c r="B11" s="34" t="s">
        <v>29</v>
      </c>
      <c r="C11" s="34">
        <v>24</v>
      </c>
      <c r="D11" s="34">
        <v>23</v>
      </c>
      <c r="E11" s="34">
        <v>27</v>
      </c>
      <c r="F11" s="11"/>
      <c r="G11" s="34">
        <f>Data!L11</f>
        <v>0</v>
      </c>
      <c r="H11" s="27">
        <f t="shared" si="0"/>
        <v>0</v>
      </c>
      <c r="I11" s="27">
        <f t="shared" si="1"/>
        <v>0</v>
      </c>
      <c r="J11" s="27">
        <f t="shared" si="2"/>
        <v>0</v>
      </c>
      <c r="K11" s="45"/>
    </row>
    <row r="12" spans="1:11">
      <c r="A12" s="12"/>
      <c r="B12" s="34" t="s">
        <v>31</v>
      </c>
      <c r="C12" s="34">
        <v>55</v>
      </c>
      <c r="D12" s="34">
        <v>1</v>
      </c>
      <c r="E12" s="34">
        <v>35</v>
      </c>
      <c r="F12" s="11"/>
      <c r="G12" s="34">
        <f>Data!L12</f>
        <v>0</v>
      </c>
      <c r="H12" s="27">
        <f t="shared" si="0"/>
        <v>0</v>
      </c>
      <c r="I12" s="27">
        <f t="shared" si="1"/>
        <v>0</v>
      </c>
      <c r="J12" s="27">
        <f t="shared" si="2"/>
        <v>0</v>
      </c>
      <c r="K12" s="5" t="s">
        <v>7</v>
      </c>
    </row>
    <row r="13" spans="1:11">
      <c r="A13" s="12"/>
      <c r="B13" s="34" t="s">
        <v>32</v>
      </c>
      <c r="C13" s="34">
        <v>80</v>
      </c>
      <c r="D13" s="34">
        <v>1</v>
      </c>
      <c r="E13" s="34">
        <v>50</v>
      </c>
      <c r="F13" s="11"/>
      <c r="G13" s="34">
        <f>Data!L13</f>
        <v>0</v>
      </c>
      <c r="H13" s="27">
        <f t="shared" si="0"/>
        <v>0</v>
      </c>
      <c r="I13" s="27">
        <f t="shared" si="1"/>
        <v>0</v>
      </c>
      <c r="J13" s="27">
        <f t="shared" si="2"/>
        <v>0</v>
      </c>
      <c r="K13" s="5">
        <f>SUM(J2:J15)</f>
        <v>1600</v>
      </c>
    </row>
    <row r="14" spans="1:11">
      <c r="A14" s="12"/>
      <c r="B14" s="34" t="s">
        <v>33</v>
      </c>
      <c r="C14" s="34">
        <v>50</v>
      </c>
      <c r="D14" s="34">
        <v>50</v>
      </c>
      <c r="E14" s="34">
        <v>50</v>
      </c>
      <c r="F14" s="11"/>
      <c r="G14" s="34">
        <f>Data!L14</f>
        <v>0</v>
      </c>
      <c r="H14" s="27">
        <f t="shared" si="0"/>
        <v>0</v>
      </c>
      <c r="I14" s="27">
        <f t="shared" si="1"/>
        <v>0</v>
      </c>
      <c r="J14" s="27">
        <f t="shared" si="2"/>
        <v>0</v>
      </c>
      <c r="K14" s="5"/>
    </row>
    <row r="15" spans="1:11">
      <c r="A15" s="12"/>
      <c r="B15" s="34" t="s">
        <v>34</v>
      </c>
      <c r="C15" s="34">
        <v>55</v>
      </c>
      <c r="D15" s="34">
        <v>55</v>
      </c>
      <c r="E15" s="34">
        <v>55</v>
      </c>
      <c r="F15" s="11"/>
      <c r="G15" s="34">
        <f>Data!L15</f>
        <v>0</v>
      </c>
      <c r="H15" s="27">
        <f t="shared" si="0"/>
        <v>0</v>
      </c>
      <c r="I15" s="27">
        <f t="shared" si="1"/>
        <v>0</v>
      </c>
      <c r="J15" s="27">
        <f t="shared" si="2"/>
        <v>0</v>
      </c>
      <c r="K15" s="14"/>
    </row>
    <row r="16" spans="1:11">
      <c r="A16" s="46"/>
      <c r="B16" s="35"/>
      <c r="C16" s="35"/>
      <c r="D16" s="35"/>
      <c r="E16" s="35"/>
      <c r="F16" s="46"/>
      <c r="G16" s="35"/>
      <c r="H16" s="35"/>
      <c r="I16" s="35"/>
      <c r="J16" s="35"/>
      <c r="K16" s="42"/>
    </row>
    <row r="17" spans="1:11">
      <c r="A17" s="46"/>
      <c r="B17" s="46"/>
      <c r="C17" s="46"/>
      <c r="D17" s="46"/>
      <c r="E17" s="46"/>
      <c r="F17" s="6"/>
      <c r="G17" s="6"/>
      <c r="H17" s="6"/>
      <c r="I17" s="6"/>
      <c r="J17" s="6"/>
      <c r="K17" s="3"/>
    </row>
    <row r="18" spans="1:11">
      <c r="A18" s="46"/>
      <c r="B18" s="46"/>
      <c r="C18" s="46"/>
      <c r="D18" s="46"/>
      <c r="E18" s="12"/>
      <c r="F18" s="34" t="s">
        <v>6</v>
      </c>
      <c r="G18" s="34" t="s">
        <v>58</v>
      </c>
      <c r="H18" s="34" t="s">
        <v>73</v>
      </c>
      <c r="I18" s="34" t="s">
        <v>74</v>
      </c>
      <c r="J18" s="34" t="s">
        <v>75</v>
      </c>
      <c r="K18" s="18" t="s">
        <v>5</v>
      </c>
    </row>
    <row r="19" spans="1:11">
      <c r="A19" s="46"/>
      <c r="B19" s="46"/>
      <c r="C19" s="46"/>
      <c r="D19" s="46"/>
      <c r="E19" s="46"/>
      <c r="F19" s="15"/>
      <c r="G19" s="34" t="str">
        <f>Data!L19</f>
        <v>760 322</v>
      </c>
      <c r="H19" s="27">
        <f t="shared" ref="H19:H32" si="3">$G19*C2</f>
        <v>2280966</v>
      </c>
      <c r="I19" s="27">
        <f t="shared" ref="I19:I32" si="4">$G19*D2</f>
        <v>1520644</v>
      </c>
      <c r="J19" s="27">
        <f t="shared" ref="J19:J32" si="5">$G19*E2</f>
        <v>6082576</v>
      </c>
      <c r="K19" s="5">
        <f>SUM(H19:H32)</f>
        <v>2280966</v>
      </c>
    </row>
    <row r="20" spans="1:11">
      <c r="A20" s="46"/>
      <c r="B20" s="46"/>
      <c r="C20" s="46"/>
      <c r="D20" s="46"/>
      <c r="E20" s="12"/>
      <c r="F20" s="34" t="s">
        <v>13</v>
      </c>
      <c r="G20" s="34">
        <f>Data!L20</f>
        <v>0</v>
      </c>
      <c r="H20" s="27">
        <f t="shared" si="3"/>
        <v>0</v>
      </c>
      <c r="I20" s="27">
        <f t="shared" si="4"/>
        <v>0</v>
      </c>
      <c r="J20" s="27">
        <f t="shared" si="5"/>
        <v>0</v>
      </c>
      <c r="K20" s="5">
        <f>(K19*F21)/10</f>
        <v>5018125.2</v>
      </c>
    </row>
    <row r="21" spans="1:11">
      <c r="A21" s="46"/>
      <c r="B21" s="46"/>
      <c r="C21" s="46"/>
      <c r="D21" s="46"/>
      <c r="E21" s="12"/>
      <c r="F21" s="34">
        <f>Data!C24</f>
        <v>22</v>
      </c>
      <c r="G21" s="34">
        <f>Data!L21</f>
        <v>0</v>
      </c>
      <c r="H21" s="27">
        <f t="shared" si="3"/>
        <v>0</v>
      </c>
      <c r="I21" s="27">
        <f t="shared" si="4"/>
        <v>0</v>
      </c>
      <c r="J21" s="27">
        <f t="shared" si="5"/>
        <v>0</v>
      </c>
      <c r="K21" s="17">
        <f>K19+K20</f>
        <v>7299091.2000000002</v>
      </c>
    </row>
    <row r="22" spans="1:11">
      <c r="A22" s="46"/>
      <c r="B22" s="46"/>
      <c r="C22" s="46"/>
      <c r="D22" s="46"/>
      <c r="E22" s="12"/>
      <c r="F22" s="34" t="s">
        <v>76</v>
      </c>
      <c r="G22" s="34">
        <f>Data!L22</f>
        <v>0</v>
      </c>
      <c r="H22" s="27">
        <f t="shared" si="3"/>
        <v>0</v>
      </c>
      <c r="I22" s="27">
        <f t="shared" si="4"/>
        <v>0</v>
      </c>
      <c r="J22" s="27">
        <f t="shared" si="5"/>
        <v>0</v>
      </c>
      <c r="K22" s="45"/>
    </row>
    <row r="23" spans="1:11">
      <c r="A23" s="46"/>
      <c r="B23" s="46"/>
      <c r="C23" s="46"/>
      <c r="D23" s="46"/>
      <c r="E23" s="12"/>
      <c r="F23" s="34">
        <f>'Calculs OS'!L3</f>
        <v>61.759259259259252</v>
      </c>
      <c r="G23" s="34">
        <f>Data!L23</f>
        <v>0</v>
      </c>
      <c r="H23" s="27">
        <f t="shared" si="3"/>
        <v>0</v>
      </c>
      <c r="I23" s="27">
        <f t="shared" si="4"/>
        <v>0</v>
      </c>
      <c r="J23" s="27">
        <f t="shared" si="5"/>
        <v>0</v>
      </c>
      <c r="K23" s="5" t="s">
        <v>6</v>
      </c>
    </row>
    <row r="24" spans="1:11">
      <c r="A24" s="46"/>
      <c r="B24" s="46"/>
      <c r="C24" s="46"/>
      <c r="D24" s="46"/>
      <c r="E24" s="46"/>
      <c r="F24" s="37"/>
      <c r="G24" s="34">
        <f>Data!L24</f>
        <v>0</v>
      </c>
      <c r="H24" s="27">
        <f t="shared" si="3"/>
        <v>0</v>
      </c>
      <c r="I24" s="27">
        <f t="shared" si="4"/>
        <v>0</v>
      </c>
      <c r="J24" s="27">
        <f t="shared" si="5"/>
        <v>0</v>
      </c>
      <c r="K24" s="5">
        <f>SUM(I19:I32)</f>
        <v>1520644</v>
      </c>
    </row>
    <row r="25" spans="1:11">
      <c r="A25" s="46"/>
      <c r="B25" s="46"/>
      <c r="C25" s="46"/>
      <c r="D25" s="46"/>
      <c r="E25" s="46"/>
      <c r="F25" s="12"/>
      <c r="G25" s="34">
        <f>Data!L25</f>
        <v>0</v>
      </c>
      <c r="H25" s="27">
        <f t="shared" si="3"/>
        <v>0</v>
      </c>
      <c r="I25" s="27">
        <f t="shared" si="4"/>
        <v>0</v>
      </c>
      <c r="J25" s="27">
        <f t="shared" si="5"/>
        <v>0</v>
      </c>
      <c r="K25" s="5">
        <f>(K24*F21)/10</f>
        <v>3345416.8</v>
      </c>
    </row>
    <row r="26" spans="1:11">
      <c r="A26" s="46"/>
      <c r="B26" s="46"/>
      <c r="C26" s="46"/>
      <c r="D26" s="46"/>
      <c r="E26" s="46"/>
      <c r="F26" s="12"/>
      <c r="G26" s="34">
        <f>Data!L26</f>
        <v>0</v>
      </c>
      <c r="H26" s="27">
        <f t="shared" si="3"/>
        <v>0</v>
      </c>
      <c r="I26" s="27">
        <f t="shared" si="4"/>
        <v>0</v>
      </c>
      <c r="J26" s="27">
        <f t="shared" si="5"/>
        <v>0</v>
      </c>
      <c r="K26" s="17">
        <f>K24+K25</f>
        <v>4866060.8</v>
      </c>
    </row>
    <row r="27" spans="1:11">
      <c r="A27" s="46"/>
      <c r="B27" s="46"/>
      <c r="C27" s="46"/>
      <c r="D27" s="46"/>
      <c r="E27" s="46"/>
      <c r="F27" s="12"/>
      <c r="G27" s="34">
        <f>Data!L27</f>
        <v>0</v>
      </c>
      <c r="H27" s="27">
        <f t="shared" si="3"/>
        <v>0</v>
      </c>
      <c r="I27" s="27">
        <f t="shared" si="4"/>
        <v>0</v>
      </c>
      <c r="J27" s="27">
        <f t="shared" si="5"/>
        <v>0</v>
      </c>
      <c r="K27" s="16"/>
    </row>
    <row r="28" spans="1:11">
      <c r="A28" s="46"/>
      <c r="B28" s="46"/>
      <c r="C28" s="46"/>
      <c r="D28" s="46"/>
      <c r="E28" s="46"/>
      <c r="F28" s="12"/>
      <c r="G28" s="34">
        <f>Data!L28</f>
        <v>0</v>
      </c>
      <c r="H28" s="27">
        <f t="shared" si="3"/>
        <v>0</v>
      </c>
      <c r="I28" s="27">
        <f t="shared" si="4"/>
        <v>0</v>
      </c>
      <c r="J28" s="27">
        <f t="shared" si="5"/>
        <v>0</v>
      </c>
      <c r="K28" s="45"/>
    </row>
    <row r="29" spans="1:11">
      <c r="A29" s="46"/>
      <c r="B29" s="46"/>
      <c r="C29" s="46"/>
      <c r="D29" s="46"/>
      <c r="E29" s="46"/>
      <c r="F29" s="12"/>
      <c r="G29" s="34">
        <f>Data!L29</f>
        <v>0</v>
      </c>
      <c r="H29" s="27">
        <f t="shared" si="3"/>
        <v>0</v>
      </c>
      <c r="I29" s="27">
        <f t="shared" si="4"/>
        <v>0</v>
      </c>
      <c r="J29" s="27">
        <f t="shared" si="5"/>
        <v>0</v>
      </c>
      <c r="K29" s="5" t="s">
        <v>7</v>
      </c>
    </row>
    <row r="30" spans="1:11">
      <c r="A30" s="46"/>
      <c r="B30" s="46"/>
      <c r="C30" s="46"/>
      <c r="D30" s="46"/>
      <c r="E30" s="46"/>
      <c r="F30" s="12"/>
      <c r="G30" s="34">
        <f>Data!L30</f>
        <v>0</v>
      </c>
      <c r="H30" s="27">
        <f t="shared" si="3"/>
        <v>0</v>
      </c>
      <c r="I30" s="27">
        <f t="shared" si="4"/>
        <v>0</v>
      </c>
      <c r="J30" s="27">
        <f t="shared" si="5"/>
        <v>0</v>
      </c>
      <c r="K30" s="5">
        <f>SUM(J19:J32)</f>
        <v>6082576</v>
      </c>
    </row>
    <row r="31" spans="1:11">
      <c r="A31" s="46"/>
      <c r="B31" s="46"/>
      <c r="C31" s="46"/>
      <c r="D31" s="46"/>
      <c r="E31" s="46"/>
      <c r="F31" s="12"/>
      <c r="G31" s="34">
        <f>Data!L31</f>
        <v>0</v>
      </c>
      <c r="H31" s="27">
        <f t="shared" si="3"/>
        <v>0</v>
      </c>
      <c r="I31" s="27">
        <f t="shared" si="4"/>
        <v>0</v>
      </c>
      <c r="J31" s="27">
        <f t="shared" si="5"/>
        <v>0</v>
      </c>
      <c r="K31" s="5">
        <f>(K30*F23)/10</f>
        <v>37565538.814814813</v>
      </c>
    </row>
    <row r="32" spans="1:11">
      <c r="A32" s="46"/>
      <c r="B32" s="46"/>
      <c r="C32" s="46"/>
      <c r="D32" s="46"/>
      <c r="E32" s="46"/>
      <c r="F32" s="12"/>
      <c r="G32" s="34">
        <f>Data!L32</f>
        <v>0</v>
      </c>
      <c r="H32" s="27">
        <f t="shared" si="3"/>
        <v>0</v>
      </c>
      <c r="I32" s="27">
        <f t="shared" si="4"/>
        <v>0</v>
      </c>
      <c r="J32" s="27">
        <f t="shared" si="5"/>
        <v>0</v>
      </c>
      <c r="K32" s="17">
        <f>K30+K31</f>
        <v>43648114.814814813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1"/>
  <sheetViews>
    <sheetView workbookViewId="0"/>
  </sheetViews>
  <sheetFormatPr baseColWidth="10" defaultColWidth="12.109375" defaultRowHeight="14.25" customHeight="1"/>
  <cols>
    <col min="5" max="5" width="18.5546875" customWidth="1"/>
    <col min="10" max="10" width="18" customWidth="1"/>
    <col min="12" max="12" width="13.6640625" customWidth="1"/>
    <col min="14" max="14" width="18.5546875" customWidth="1"/>
    <col min="15" max="15" width="17.33203125" customWidth="1"/>
    <col min="16" max="16" width="15.5546875" customWidth="1"/>
  </cols>
  <sheetData>
    <row r="1" spans="1:16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>
      <c r="A2" s="46"/>
      <c r="B2" s="46" t="s">
        <v>77</v>
      </c>
      <c r="C2" s="46"/>
      <c r="D2" s="46" t="s">
        <v>78</v>
      </c>
      <c r="E2" s="46" t="s">
        <v>79</v>
      </c>
      <c r="F2" s="46" t="s">
        <v>80</v>
      </c>
      <c r="G2" s="46" t="s">
        <v>81</v>
      </c>
      <c r="H2" s="46" t="s">
        <v>82</v>
      </c>
      <c r="I2" s="46" t="s">
        <v>83</v>
      </c>
      <c r="J2" s="46" t="s">
        <v>84</v>
      </c>
      <c r="K2" s="46" t="s">
        <v>85</v>
      </c>
      <c r="L2" s="46" t="s">
        <v>86</v>
      </c>
      <c r="M2" s="46"/>
      <c r="N2" s="46"/>
      <c r="O2" s="46"/>
      <c r="P2" s="46"/>
    </row>
    <row r="3" spans="1:16">
      <c r="A3" s="46"/>
      <c r="B3" s="46">
        <f>'Résumés Armées'!K4</f>
        <v>3100</v>
      </c>
      <c r="C3" s="46"/>
      <c r="D3" s="46"/>
      <c r="E3" s="46">
        <f>SEARCH('Calculs OS'!E2,'Armée Ennemie'!A10)</f>
        <v>39</v>
      </c>
      <c r="F3" s="46">
        <f>SEARCH('Calculs OS'!F2,'Armée Ennemie'!A10)</f>
        <v>47</v>
      </c>
      <c r="G3" s="46" t="str">
        <f>MID('Armée Ennemie'!A10,(('Calculs OS'!E3+1)+LEN('Calculs OS'!E2)),((('Calculs OS'!F3-'Calculs OS'!E3)-2)-LEN('Calculs OS'!E2)))</f>
        <v>54</v>
      </c>
      <c r="H3" s="46" t="str">
        <f>Data!R32</f>
        <v>Jeunes Soldates Naines</v>
      </c>
      <c r="I3" s="46">
        <f>VLOOKUP(H3,'Résumés Armées'!B2:E15,4,FALSE)</f>
        <v>8</v>
      </c>
      <c r="J3" s="46">
        <f>B3/I3</f>
        <v>387.5</v>
      </c>
      <c r="K3" s="46">
        <f>J3/G3</f>
        <v>7.1759259259259256</v>
      </c>
      <c r="L3" s="46">
        <f>(K3-1)*10</f>
        <v>61.759259259259252</v>
      </c>
      <c r="M3" s="46"/>
      <c r="N3" s="46"/>
      <c r="O3" s="46"/>
      <c r="P3" s="46"/>
    </row>
    <row r="4" spans="1:16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>
      <c r="A5" s="46"/>
      <c r="B5" s="46" t="s">
        <v>87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>
      <c r="A7" s="46"/>
      <c r="B7" s="46" t="s">
        <v>88</v>
      </c>
      <c r="C7" s="4">
        <v>0.1</v>
      </c>
      <c r="D7" s="46"/>
      <c r="E7" s="46" t="s">
        <v>89</v>
      </c>
      <c r="F7" s="46" t="s">
        <v>90</v>
      </c>
      <c r="G7" s="46" t="s">
        <v>91</v>
      </c>
      <c r="H7" s="46"/>
      <c r="I7" s="46"/>
      <c r="J7" s="46"/>
      <c r="K7" s="46"/>
      <c r="L7" s="46"/>
      <c r="M7" s="46"/>
      <c r="N7" s="46"/>
      <c r="O7" s="46"/>
      <c r="P7" s="46"/>
    </row>
    <row r="8" spans="1:16">
      <c r="A8" s="46"/>
      <c r="B8" s="46">
        <f>'Résumés Armées'!K26</f>
        <v>4866060.8</v>
      </c>
      <c r="C8" s="46">
        <f>B8/10</f>
        <v>486606.07999999996</v>
      </c>
      <c r="D8" s="46"/>
      <c r="E8" s="46">
        <f>8*(1+('Mon armée'!I12/10))</f>
        <v>24</v>
      </c>
      <c r="F8" s="46">
        <f>ROUNDUP((C8/E8),0)</f>
        <v>20276</v>
      </c>
      <c r="G8" s="46">
        <f>ROUNDUP(F8,-(LEN(F8)-2))</f>
        <v>21000</v>
      </c>
      <c r="H8" s="46"/>
      <c r="I8" s="46"/>
      <c r="J8" s="46"/>
      <c r="K8" s="46"/>
      <c r="L8" s="46"/>
      <c r="M8" s="46"/>
      <c r="N8" s="46"/>
      <c r="O8" s="46"/>
      <c r="P8" s="46"/>
    </row>
    <row r="9" spans="1:16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</row>
    <row r="11" spans="1:16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16">
      <c r="A12" s="46"/>
      <c r="B12" s="46" t="s">
        <v>92</v>
      </c>
      <c r="C12" s="46"/>
      <c r="D12" s="46"/>
      <c r="E12" s="46" t="s">
        <v>93</v>
      </c>
      <c r="F12" s="46" t="s">
        <v>94</v>
      </c>
      <c r="G12" s="46" t="s">
        <v>95</v>
      </c>
      <c r="H12" s="46"/>
      <c r="I12" s="46"/>
      <c r="J12" s="46" t="s">
        <v>96</v>
      </c>
      <c r="K12" s="46" t="s">
        <v>97</v>
      </c>
      <c r="L12" s="46">
        <f>'Résumés Armées'!K32</f>
        <v>43648114.814814813</v>
      </c>
      <c r="M12" s="46" t="s">
        <v>98</v>
      </c>
      <c r="N12" s="46"/>
      <c r="O12" s="46"/>
      <c r="P12" s="46"/>
    </row>
    <row r="13" spans="1:16">
      <c r="A13" s="46"/>
      <c r="B13" s="46" t="s">
        <v>99</v>
      </c>
      <c r="C13" s="46"/>
      <c r="D13" s="46" t="s">
        <v>100</v>
      </c>
      <c r="E13" s="29">
        <v>20000000</v>
      </c>
      <c r="F13" s="46">
        <v>12250600</v>
      </c>
      <c r="G13" s="1">
        <f t="shared" ref="G13:G26" si="0">F13/E13</f>
        <v>0.61253000000000002</v>
      </c>
      <c r="H13" s="46"/>
      <c r="I13" s="46"/>
      <c r="J13" s="46"/>
      <c r="K13" s="46" t="s">
        <v>101</v>
      </c>
      <c r="L13" s="46">
        <f>G8</f>
        <v>21000</v>
      </c>
      <c r="M13" s="46"/>
      <c r="N13" s="46"/>
      <c r="O13" s="46"/>
      <c r="P13" s="46"/>
    </row>
    <row r="14" spans="1:16">
      <c r="A14" s="46"/>
      <c r="B14" s="46"/>
      <c r="C14" s="46"/>
      <c r="D14" s="46" t="s">
        <v>102</v>
      </c>
      <c r="E14" s="29">
        <v>20000000</v>
      </c>
      <c r="F14" s="46">
        <v>12238169</v>
      </c>
      <c r="G14" s="1">
        <f t="shared" si="0"/>
        <v>0.61190845000000005</v>
      </c>
      <c r="H14" s="46"/>
      <c r="I14" s="46"/>
      <c r="J14" s="46"/>
      <c r="K14" s="46" t="s">
        <v>103</v>
      </c>
      <c r="L14" s="46">
        <f>L12-(L13*(1+('Mon armée'!I10/10)))</f>
        <v>43583014.814814813</v>
      </c>
      <c r="M14" s="46" t="s">
        <v>104</v>
      </c>
      <c r="N14" s="46" t="s">
        <v>105</v>
      </c>
      <c r="O14" s="46" t="s">
        <v>106</v>
      </c>
      <c r="P14" s="46" t="s">
        <v>107</v>
      </c>
    </row>
    <row r="15" spans="1:16">
      <c r="A15" s="46"/>
      <c r="B15" s="46"/>
      <c r="C15" s="46"/>
      <c r="D15" s="46" t="s">
        <v>108</v>
      </c>
      <c r="E15" s="29">
        <v>30900000</v>
      </c>
      <c r="F15" s="46">
        <v>18303592</v>
      </c>
      <c r="G15" s="1">
        <f t="shared" si="0"/>
        <v>0.59234925566343044</v>
      </c>
      <c r="H15" s="46"/>
      <c r="I15" s="46"/>
      <c r="J15" s="46"/>
      <c r="K15" s="46" t="s">
        <v>109</v>
      </c>
      <c r="L15" s="46" t="str">
        <f>IFERROR(VLOOKUP(VALUE(RIGHT(K15,1)),'Armée Ennemie'!I$12:J$19,2,FALSE),"")</f>
        <v/>
      </c>
      <c r="M15" s="46">
        <f>IFERROR(VALUE(VLOOKUP(L15,'Mon armée'!K$7:L$20,2,FALSE)),0)-IF((L15='Mon armée'!$K$7),'Calculs OS'!$L$13,0)</f>
        <v>0</v>
      </c>
      <c r="N15" s="46">
        <f>L14</f>
        <v>43583014.814814813</v>
      </c>
      <c r="O15" s="29">
        <f>IFERROR(($L$14/((1+('Mon armée'!$I$10/10))*VLOOKUP(L15,'Résumés Armées'!B$2:C$15,2,FALSE))),0)</f>
        <v>0</v>
      </c>
      <c r="P15" s="29">
        <f>IF((O15&gt;M15),M15,O15)+IF((L15='Mon armée'!$K$7),'Calculs OS'!$L$13,0)</f>
        <v>0</v>
      </c>
    </row>
    <row r="16" spans="1:16">
      <c r="A16" s="46"/>
      <c r="B16" s="46"/>
      <c r="C16" s="46"/>
      <c r="D16" s="46" t="s">
        <v>110</v>
      </c>
      <c r="E16" s="29">
        <v>20000000</v>
      </c>
      <c r="F16" s="46">
        <v>11523150</v>
      </c>
      <c r="G16" s="1">
        <f t="shared" si="0"/>
        <v>0.57615749999999999</v>
      </c>
      <c r="H16" s="46"/>
      <c r="I16" s="46"/>
      <c r="J16" s="46"/>
      <c r="K16" s="46" t="s">
        <v>111</v>
      </c>
      <c r="L16" s="46" t="str">
        <f>IFERROR(VLOOKUP(VALUE(RIGHT(K16,1)),'Armée Ennemie'!I$12:J$19,2,FALSE),"")</f>
        <v/>
      </c>
      <c r="M16" s="46">
        <f>IFERROR(VALUE(VLOOKUP(L16,'Mon armée'!K$7:L$20,2,FALSE)),0)-IF((L16='Mon armée'!$K$7),'Calculs OS'!$L$13,0)</f>
        <v>0</v>
      </c>
      <c r="N16" s="29">
        <f>N15-(((1+('Mon armée'!$I$10/10))*IFERROR(VLOOKUP('Calculs OS'!L15,'Résumés Armées'!B$2:C$15,2,FALSE),0))*P15)</f>
        <v>43583014.814814813</v>
      </c>
      <c r="O16" s="29">
        <f>IFERROR((N16/((1+('Mon armée'!$I$10/10))*VLOOKUP(L16,'Résumés Armées'!B$2:C$15,2,FALSE))),0)</f>
        <v>0</v>
      </c>
      <c r="P16" s="29">
        <f>IF((O16&gt;M16),M16,O16)+IF((L16='Mon armée'!$K$7),'Calculs OS'!$L$13,0)</f>
        <v>0</v>
      </c>
    </row>
    <row r="17" spans="1:16">
      <c r="A17" s="46"/>
      <c r="B17" s="46"/>
      <c r="C17" s="46"/>
      <c r="D17" s="46" t="s">
        <v>112</v>
      </c>
      <c r="E17" s="29">
        <v>20000000</v>
      </c>
      <c r="F17" s="46">
        <v>10587852</v>
      </c>
      <c r="G17" s="1">
        <f t="shared" si="0"/>
        <v>0.52939259999999999</v>
      </c>
      <c r="H17" s="46"/>
      <c r="I17" s="46"/>
      <c r="J17" s="46"/>
      <c r="K17" s="46" t="s">
        <v>113</v>
      </c>
      <c r="L17" s="46" t="str">
        <f>IFERROR(VLOOKUP(VALUE(RIGHT(K17,1)),'Armée Ennemie'!I$12:J$19,2,FALSE),"")</f>
        <v/>
      </c>
      <c r="M17" s="46">
        <f>IFERROR(VALUE(VLOOKUP(L17,'Mon armée'!K$7:L$20,2,FALSE)),0)-IF((L17='Mon armée'!$K$7),'Calculs OS'!$L$13,0)</f>
        <v>0</v>
      </c>
      <c r="N17" s="29">
        <f>N16-(((1+('Mon armée'!$I$10/10))*IFERROR(VLOOKUP('Calculs OS'!L16,'Résumés Armées'!B$2:C$15,2,FALSE),0))*P16)</f>
        <v>43583014.814814813</v>
      </c>
      <c r="O17" s="29">
        <f>IFERROR((N17/((1+('Mon armée'!$I$10/10))*VLOOKUP(L17,'Résumés Armées'!B$2:C$15,2,FALSE))),0)</f>
        <v>0</v>
      </c>
      <c r="P17" s="29">
        <f>IF((O17&gt;M17),M17,O17)+IF((L17='Mon armée'!$K$7),'Calculs OS'!$L$13,0)</f>
        <v>0</v>
      </c>
    </row>
    <row r="18" spans="1:16">
      <c r="A18" s="46"/>
      <c r="B18" s="46"/>
      <c r="C18" s="46"/>
      <c r="D18" s="46" t="s">
        <v>114</v>
      </c>
      <c r="E18" s="29">
        <v>20000000</v>
      </c>
      <c r="F18" s="46">
        <v>10562785</v>
      </c>
      <c r="G18" s="1">
        <f t="shared" si="0"/>
        <v>0.52813924999999995</v>
      </c>
      <c r="H18" s="46"/>
      <c r="I18" s="46"/>
      <c r="J18" s="46"/>
      <c r="K18" s="46" t="s">
        <v>115</v>
      </c>
      <c r="L18" s="46" t="str">
        <f>IFERROR(VLOOKUP(VALUE(RIGHT(K18,1)),'Armée Ennemie'!I$12:J$19,2,FALSE),"")</f>
        <v/>
      </c>
      <c r="M18" s="46">
        <f>IFERROR(VALUE(VLOOKUP(L18,'Mon armée'!K$7:L$20,2,FALSE)),0)-IF((L18='Mon armée'!$K$7),'Calculs OS'!$L$13,0)</f>
        <v>0</v>
      </c>
      <c r="N18" s="29">
        <f>N17-(((1+('Mon armée'!$I$10/10))*IFERROR(VLOOKUP('Calculs OS'!L17,'Résumés Armées'!B$2:C$15,2,FALSE),0))*P17)</f>
        <v>43583014.814814813</v>
      </c>
      <c r="O18" s="29">
        <f>IFERROR((N18/((1+('Mon armée'!$I$10/10))*VLOOKUP(L18,'Résumés Armées'!B$2:C$15,2,FALSE))),0)</f>
        <v>0</v>
      </c>
      <c r="P18" s="29">
        <f>IF((O18&gt;M18),M18,O18)+IF((L18='Mon armée'!$K$7),'Calculs OS'!$L$13,0)</f>
        <v>0</v>
      </c>
    </row>
    <row r="19" spans="1:16">
      <c r="A19" s="46"/>
      <c r="B19" s="46"/>
      <c r="C19" s="46"/>
      <c r="D19" s="46" t="s">
        <v>116</v>
      </c>
      <c r="E19" s="29">
        <v>20000000</v>
      </c>
      <c r="F19" s="46">
        <v>9787283</v>
      </c>
      <c r="G19" s="1">
        <f t="shared" si="0"/>
        <v>0.48936415</v>
      </c>
      <c r="H19" s="46"/>
      <c r="I19" s="46"/>
      <c r="J19" s="46"/>
      <c r="K19" s="46" t="s">
        <v>117</v>
      </c>
      <c r="L19" s="46" t="str">
        <f>IFERROR(VLOOKUP(VALUE(RIGHT(K19,1)),'Armée Ennemie'!I$12:J$19,2,FALSE),"")</f>
        <v/>
      </c>
      <c r="M19" s="46">
        <f>IFERROR(VALUE(VLOOKUP(L19,'Mon armée'!K$7:L$20,2,FALSE)),0)-IF((L19='Mon armée'!$K$7),'Calculs OS'!$L$13,0)</f>
        <v>0</v>
      </c>
      <c r="N19" s="29">
        <f>N18-(((1+('Mon armée'!$I$10/10))*IFERROR(VLOOKUP('Calculs OS'!L18,'Résumés Armées'!B$2:C$15,2,FALSE),0))*P18)</f>
        <v>43583014.814814813</v>
      </c>
      <c r="O19" s="29">
        <f>IFERROR((N19/((1+('Mon armée'!$I$10/10))*VLOOKUP(L19,'Résumés Armées'!B$2:C$15,2,FALSE))),0)</f>
        <v>0</v>
      </c>
      <c r="P19" s="29">
        <f>IF((O19&gt;M19),M19,O19)+IF((L19='Mon armée'!$K$7),'Calculs OS'!$L$13,0)</f>
        <v>0</v>
      </c>
    </row>
    <row r="20" spans="1:16">
      <c r="A20" s="46"/>
      <c r="B20" s="46"/>
      <c r="C20" s="46"/>
      <c r="D20" s="46" t="s">
        <v>118</v>
      </c>
      <c r="E20" s="29">
        <v>20000000</v>
      </c>
      <c r="F20" s="46">
        <v>9758272</v>
      </c>
      <c r="G20" s="1">
        <f t="shared" si="0"/>
        <v>0.4879136</v>
      </c>
      <c r="H20" s="46"/>
      <c r="I20" s="46"/>
      <c r="J20" s="46"/>
      <c r="K20" s="46" t="s">
        <v>119</v>
      </c>
      <c r="L20" s="46" t="str">
        <f>IFERROR(VLOOKUP(VALUE(RIGHT(K20,1)),'Armée Ennemie'!I$12:J$19,2,FALSE),"")</f>
        <v/>
      </c>
      <c r="M20" s="46">
        <f>IFERROR(VALUE(VLOOKUP(L20,'Mon armée'!K$7:L$20,2,FALSE)),0)-IF((L20='Mon armée'!$K$7),'Calculs OS'!$L$13,0)</f>
        <v>0</v>
      </c>
      <c r="N20" s="29">
        <f>N19-(((1+('Mon armée'!$I$10/10))*IFERROR(VLOOKUP('Calculs OS'!L19,'Résumés Armées'!B$2:C$15,2,FALSE),0))*P19)</f>
        <v>43583014.814814813</v>
      </c>
      <c r="O20" s="29">
        <f>IFERROR((N20/((1+('Mon armée'!$I$10/10))*VLOOKUP(L20,'Résumés Armées'!B$2:C$15,2,FALSE))),0)</f>
        <v>0</v>
      </c>
      <c r="P20" s="29">
        <f>IF((O20&gt;M20),M20,O20)+IF((L20='Mon armée'!$K$7),'Calculs OS'!$L$13,0)</f>
        <v>0</v>
      </c>
    </row>
    <row r="21" spans="1:16">
      <c r="A21" s="46"/>
      <c r="B21" s="46"/>
      <c r="C21" s="46"/>
      <c r="D21" s="46" t="s">
        <v>120</v>
      </c>
      <c r="E21" s="29">
        <v>20000000</v>
      </c>
      <c r="F21" s="46">
        <v>9616015</v>
      </c>
      <c r="G21" s="1">
        <f t="shared" si="0"/>
        <v>0.48080075</v>
      </c>
      <c r="H21" s="46"/>
      <c r="I21" s="46"/>
      <c r="J21" s="46"/>
      <c r="K21" s="46" t="s">
        <v>121</v>
      </c>
      <c r="L21" s="46" t="str">
        <f>IFERROR(VLOOKUP(VALUE(RIGHT(K21,1)),'Armée Ennemie'!I$12:J$19,2,FALSE),"")</f>
        <v/>
      </c>
      <c r="M21" s="46">
        <f>IFERROR(VALUE(VLOOKUP(L21,'Mon armée'!K$7:L$20,2,FALSE)),0)-IF((L21='Mon armée'!$K$7),'Calculs OS'!$L$13,0)</f>
        <v>0</v>
      </c>
      <c r="N21" s="29">
        <f>N20-(((1+('Mon armée'!$I$10/10))*IFERROR(VLOOKUP('Calculs OS'!L20,'Résumés Armées'!B$2:C$15,2,FALSE),0))*P20)</f>
        <v>43583014.814814813</v>
      </c>
      <c r="O21" s="29">
        <f>IFERROR((N21/((1+('Mon armée'!$I$10/10))*VLOOKUP(L21,'Résumés Armées'!B$2:C$15,2,FALSE))),0)</f>
        <v>0</v>
      </c>
      <c r="P21" s="29">
        <f>IF((O21&gt;M21),M21,O21)+IF((L21='Mon armée'!$K$7),'Calculs OS'!$L$13,0)</f>
        <v>0</v>
      </c>
    </row>
    <row r="22" spans="1:16">
      <c r="A22" s="46"/>
      <c r="B22" s="46"/>
      <c r="C22" s="46"/>
      <c r="D22" s="46" t="s">
        <v>122</v>
      </c>
      <c r="E22" s="29">
        <v>20000000</v>
      </c>
      <c r="F22" s="46">
        <v>9479745</v>
      </c>
      <c r="G22" s="1">
        <f t="shared" si="0"/>
        <v>0.47398725000000003</v>
      </c>
      <c r="H22" s="46"/>
      <c r="I22" s="46"/>
      <c r="J22" s="46"/>
      <c r="K22" s="46" t="s">
        <v>123</v>
      </c>
      <c r="L22" s="46" t="str">
        <f>IFERROR(VLOOKUP(VALUE(RIGHT(K22,1)),'Armée Ennemie'!I$12:J$19,2,FALSE),"")</f>
        <v/>
      </c>
      <c r="M22" s="46">
        <f>IFERROR(VALUE(VLOOKUP(L22,'Mon armée'!K$7:L$20,2,FALSE)),0)-IF((L22='Mon armée'!$K$7),'Calculs OS'!$L$13,0)</f>
        <v>0</v>
      </c>
      <c r="N22" s="29">
        <f>N21-(((1+('Mon armée'!$I$10/10))*IFERROR(VLOOKUP('Calculs OS'!L21,'Résumés Armées'!B$2:C$15,2,FALSE),0))*P21)</f>
        <v>43583014.814814813</v>
      </c>
      <c r="O22" s="29">
        <f>IFERROR((N22/((1+('Mon armée'!$I$10/10))*VLOOKUP(L22,'Résumés Armées'!B$2:C$15,2,FALSE))),0)</f>
        <v>0</v>
      </c>
      <c r="P22" s="29">
        <f>IF((O22&gt;M22),M22,O22)+IF((L22='Mon armée'!$K$7),'Calculs OS'!$L$13,0)</f>
        <v>0</v>
      </c>
    </row>
    <row r="23" spans="1:16">
      <c r="A23" s="46"/>
      <c r="B23" s="46"/>
      <c r="C23" s="46"/>
      <c r="D23" s="46" t="s">
        <v>124</v>
      </c>
      <c r="E23" s="29">
        <v>20000000</v>
      </c>
      <c r="F23" s="46">
        <v>9115893</v>
      </c>
      <c r="G23" s="1">
        <f t="shared" si="0"/>
        <v>0.45579465000000002</v>
      </c>
      <c r="H23" s="46"/>
      <c r="I23" s="46"/>
      <c r="J23" s="46"/>
      <c r="K23" s="46" t="s">
        <v>125</v>
      </c>
      <c r="L23" s="46" t="str">
        <f>IFERROR(VLOOKUP(VALUE(RIGHT(K23,1)),'Armée Ennemie'!I$12:J$19,2,FALSE),"")</f>
        <v>Tanks</v>
      </c>
      <c r="M23" s="46">
        <f>IFERROR(VALUE(VLOOKUP(L23,'Mon armée'!K$7:L$20,2,FALSE)),0)-IF((L23='Mon armée'!$K$7),'Calculs OS'!$L$13,0)</f>
        <v>13371657</v>
      </c>
      <c r="N23" s="29">
        <f>N22-(((1+('Mon armée'!$I$10/10))*IFERROR(VLOOKUP('Calculs OS'!L22,'Résumés Armées'!B$2:C$15,2,FALSE),0))*P22)</f>
        <v>43583014.814814813</v>
      </c>
      <c r="O23" s="29">
        <f>IFERROR((N23/((1+('Mon armée'!$I$10/10))*VLOOKUP(L23,'Résumés Armées'!B$2:C$15,2,FALSE))),0)</f>
        <v>255618.8552188552</v>
      </c>
      <c r="P23" s="29">
        <f>IF((O23&gt;M23),M23,O23)+IF((L23='Mon armée'!$K$7),'Calculs OS'!$L$13,0)</f>
        <v>255618.8552188552</v>
      </c>
    </row>
    <row r="24" spans="1:16">
      <c r="A24" s="46"/>
      <c r="B24" s="46"/>
      <c r="C24" s="46"/>
      <c r="D24" s="46" t="s">
        <v>126</v>
      </c>
      <c r="E24" s="29">
        <v>20000000</v>
      </c>
      <c r="F24" s="46">
        <v>8937072</v>
      </c>
      <c r="G24" s="1">
        <f t="shared" si="0"/>
        <v>0.44685360000000002</v>
      </c>
      <c r="H24" s="46"/>
      <c r="I24" s="46"/>
      <c r="J24" s="46"/>
      <c r="K24" s="46"/>
      <c r="L24" s="46"/>
      <c r="M24" s="46"/>
      <c r="N24" s="29">
        <f>N23-(((1+('Mon armée'!$I$10/10))*IFERROR(VLOOKUP('Calculs OS'!L23,'Résumés Armées'!B$2:C$15,2,FALSE),0))*P23)</f>
        <v>0</v>
      </c>
      <c r="O24" s="29">
        <f>IFERROR((N24/((1+('Mon armée'!$I$10/10))*VLOOKUP(L24,'Résumés Armées'!B$2:C$15,2,FALSE))),0)</f>
        <v>0</v>
      </c>
      <c r="P24" s="29">
        <f t="shared" ref="P24:P30" si="1">IF((O24&gt;M24),M24,O24)</f>
        <v>0</v>
      </c>
    </row>
    <row r="25" spans="1:16">
      <c r="A25" s="46"/>
      <c r="B25" s="46"/>
      <c r="C25" s="46"/>
      <c r="D25" s="46" t="s">
        <v>127</v>
      </c>
      <c r="E25" s="29">
        <v>20000000</v>
      </c>
      <c r="F25" s="46">
        <v>506915</v>
      </c>
      <c r="G25" s="1">
        <f t="shared" si="0"/>
        <v>2.534575E-2</v>
      </c>
      <c r="H25" s="46"/>
      <c r="I25" s="46"/>
      <c r="J25" s="46"/>
      <c r="K25" s="46"/>
      <c r="L25" s="46" t="s">
        <v>28</v>
      </c>
      <c r="M25" s="46">
        <f>IFERROR(VALUE(VLOOKUP(L25,'Mon armée'!K$7:L$20,2,FALSE)),0)</f>
        <v>100000</v>
      </c>
      <c r="N25" s="29">
        <f>N24-(((1+('Mon armée'!$I$10/10))*IFERROR(VLOOKUP('Calculs OS'!L24,'Résumés Armées'!B$2:C$15,2,FALSE),0))*P24)</f>
        <v>0</v>
      </c>
      <c r="O25" s="29">
        <f>IFERROR((N25/((1+('Mon armée'!$I$10/10))*VLOOKUP(L25,'Résumés Armées'!B$2:C$15,2,FALSE))),0)</f>
        <v>0</v>
      </c>
      <c r="P25" s="29">
        <f t="shared" si="1"/>
        <v>0</v>
      </c>
    </row>
    <row r="26" spans="1:16">
      <c r="A26" s="46"/>
      <c r="B26" s="46"/>
      <c r="C26" s="46"/>
      <c r="D26" s="46" t="s">
        <v>128</v>
      </c>
      <c r="E26" s="29">
        <v>20000000</v>
      </c>
      <c r="F26" s="46">
        <v>301468</v>
      </c>
      <c r="G26" s="1">
        <f t="shared" si="0"/>
        <v>1.5073400000000001E-2</v>
      </c>
      <c r="H26" s="46"/>
      <c r="I26" s="46"/>
      <c r="J26" s="46"/>
      <c r="K26" s="46"/>
      <c r="L26" s="46" t="s">
        <v>32</v>
      </c>
      <c r="M26" s="46">
        <f>IFERROR(VALUE(VLOOKUP(L26,'Mon armée'!K$7:L$20,2,FALSE)),0)</f>
        <v>18013</v>
      </c>
      <c r="N26" s="29">
        <f>N25-(((1+('Mon armée'!$I$10/10))*IFERROR(VLOOKUP('Calculs OS'!L25,'Résumés Armées'!B$2:C$15,2,FALSE),0))*P25)</f>
        <v>0</v>
      </c>
      <c r="O26" s="29">
        <f>IFERROR((N26/((1+('Mon armée'!$I$10/10))*VLOOKUP(L26,'Résumés Armées'!B$2:C$15,2,FALSE))),0)</f>
        <v>0</v>
      </c>
      <c r="P26" s="29">
        <f t="shared" si="1"/>
        <v>0</v>
      </c>
    </row>
    <row r="27" spans="1:16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 t="s">
        <v>34</v>
      </c>
      <c r="M27" s="46">
        <f>IFERROR(VALUE(VLOOKUP(L27,'Mon armée'!K$7:L$20,2,FALSE)),0)</f>
        <v>22369</v>
      </c>
      <c r="N27" s="29">
        <f>N26-(((1+('Mon armée'!$I$10/10))*IFERROR(VLOOKUP('Calculs OS'!L26,'Résumés Armées'!B$2:C$15,2,FALSE),0))*P26)</f>
        <v>0</v>
      </c>
      <c r="O27" s="29">
        <f>IFERROR((N27/((1+('Mon armée'!$I$10/10))*VLOOKUP(L27,'Résumés Armées'!B$2:C$15,2,FALSE))),0)</f>
        <v>0</v>
      </c>
      <c r="P27" s="29">
        <f t="shared" si="1"/>
        <v>0</v>
      </c>
    </row>
    <row r="28" spans="1:16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 t="s">
        <v>29</v>
      </c>
      <c r="M28" s="46">
        <f>IFERROR(VALUE(VLOOKUP(L28,'Mon armée'!K$7:L$20,2,FALSE)),0)</f>
        <v>0</v>
      </c>
      <c r="N28" s="29">
        <f>N27-(((1+('Mon armée'!$I$10/10))*IFERROR(VLOOKUP('Calculs OS'!L27,'Résumés Armées'!B$2:C$15,2,FALSE),0))*P27)</f>
        <v>0</v>
      </c>
      <c r="O28" s="29">
        <f>IFERROR((N28/((1+('Mon armée'!$I$10/10))*VLOOKUP(L28,'Résumés Armées'!B$2:C$15,2,FALSE))),0)</f>
        <v>0</v>
      </c>
      <c r="P28" s="29">
        <f t="shared" si="1"/>
        <v>0</v>
      </c>
    </row>
    <row r="29" spans="1:16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 t="s">
        <v>14</v>
      </c>
      <c r="M29" s="46">
        <f>IFERROR(VALUE(VLOOKUP(L29,'Mon armée'!K$7:L$20,2,FALSE)),0)</f>
        <v>0</v>
      </c>
      <c r="N29" s="29">
        <f>N28-(((1+('Mon armée'!$I$10/10))*IFERROR(VLOOKUP('Calculs OS'!L28,'Résumés Armées'!B$2:C$15,2,FALSE),0))*P28)</f>
        <v>0</v>
      </c>
      <c r="O29" s="29">
        <f>IFERROR((N29/((1+('Mon armée'!$I$10/10))*VLOOKUP(L29,'Résumés Armées'!B$2:C$15,2,FALSE))),0)</f>
        <v>0</v>
      </c>
      <c r="P29" s="29">
        <f t="shared" si="1"/>
        <v>0</v>
      </c>
    </row>
    <row r="30" spans="1:16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 t="s">
        <v>23</v>
      </c>
      <c r="M30" s="46">
        <f>IFERROR(VALUE(VLOOKUP(L30,'Mon armée'!K$7:L$20,2,FALSE)),0)</f>
        <v>0</v>
      </c>
      <c r="N30" s="29">
        <f>N29-(((1+('Mon armée'!$I$10/10))*IFERROR(VLOOKUP('Calculs OS'!L29,'Résumés Armées'!B$2:C$15,2,FALSE),0))*P29)</f>
        <v>0</v>
      </c>
      <c r="O30" s="29">
        <f>IFERROR((N30/((1+('Mon armée'!$I$10/10))*VLOOKUP(L30,'Résumés Armées'!B$2:C$15,2,FALSE))),0)</f>
        <v>0</v>
      </c>
      <c r="P30" s="29">
        <f t="shared" si="1"/>
        <v>0</v>
      </c>
    </row>
    <row r="31" spans="1:16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29">
        <f>N30-(((1+('Mon armée'!$I$10/10))*IFERROR(VLOOKUP('Calculs OS'!L30,'Résumés Armées'!B$2:C$15,2,FALSE),0))*P30)</f>
        <v>0</v>
      </c>
      <c r="O31" s="46"/>
      <c r="P31" s="4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0"/>
  <sheetViews>
    <sheetView workbookViewId="0"/>
  </sheetViews>
  <sheetFormatPr baseColWidth="10" defaultColWidth="12.109375" defaultRowHeight="14.25" customHeight="1"/>
  <cols>
    <col min="2" max="2" width="22.6640625" customWidth="1"/>
    <col min="3" max="3" width="18.5546875" customWidth="1"/>
    <col min="5" max="5" width="21.33203125" customWidth="1"/>
    <col min="7" max="7" width="22.6640625" customWidth="1"/>
    <col min="8" max="8" width="21.33203125" customWidth="1"/>
  </cols>
  <sheetData>
    <row r="1" spans="1:8">
      <c r="A1" s="46"/>
      <c r="B1" s="6"/>
      <c r="C1" s="6"/>
      <c r="D1" s="46"/>
      <c r="E1" s="6"/>
      <c r="F1" s="46"/>
      <c r="G1" s="6"/>
      <c r="H1" s="6"/>
    </row>
    <row r="2" spans="1:8">
      <c r="A2" s="12"/>
      <c r="B2" s="34" t="s">
        <v>129</v>
      </c>
      <c r="C2" s="34" t="s">
        <v>58</v>
      </c>
      <c r="D2" s="11"/>
      <c r="E2" s="23" t="s">
        <v>130</v>
      </c>
      <c r="F2" s="11"/>
      <c r="G2" s="34" t="s">
        <v>131</v>
      </c>
      <c r="H2" s="34" t="s">
        <v>58</v>
      </c>
    </row>
    <row r="3" spans="1:8">
      <c r="A3" s="12"/>
      <c r="B3" s="34" t="s">
        <v>10</v>
      </c>
      <c r="C3" s="27">
        <f>IF(('Armée Ennemie'!I12=0),'Calculs OS'!L13,IFERROR(VLOOKUP(B3,'Calculs OS'!$L$15:$P$31,5,FALSE),0))</f>
        <v>21000</v>
      </c>
      <c r="D3" s="11"/>
      <c r="E3" s="32">
        <f>'Calcul XP'!C22</f>
        <v>200.90919514013436</v>
      </c>
      <c r="F3" s="11"/>
      <c r="G3" s="34" t="s">
        <v>10</v>
      </c>
      <c r="H3" s="27">
        <f>'Mon armée'!L7-C3</f>
        <v>309955872</v>
      </c>
    </row>
    <row r="4" spans="1:8">
      <c r="A4" s="12"/>
      <c r="B4" s="34" t="s">
        <v>12</v>
      </c>
      <c r="C4" s="27">
        <f>IFERROR(VLOOKUP(B4,'Calculs OS'!$L$15:$P$31,5,FALSE),0)</f>
        <v>0</v>
      </c>
      <c r="D4" s="11"/>
      <c r="E4" s="32">
        <f>'Calcul XP'!C23</f>
        <v>0</v>
      </c>
      <c r="F4" s="11"/>
      <c r="G4" s="34" t="s">
        <v>12</v>
      </c>
      <c r="H4" s="27">
        <f>'Mon armée'!L8-C4</f>
        <v>763346</v>
      </c>
    </row>
    <row r="5" spans="1:8">
      <c r="A5" s="12"/>
      <c r="B5" s="34" t="s">
        <v>14</v>
      </c>
      <c r="C5" s="27">
        <f>IFERROR(VLOOKUP(B5,'Calculs OS'!$L$15:$P$31,5,FALSE),0)</f>
        <v>0</v>
      </c>
      <c r="D5" s="11"/>
      <c r="E5" s="32"/>
      <c r="F5" s="11"/>
      <c r="G5" s="34" t="s">
        <v>14</v>
      </c>
      <c r="H5" s="27">
        <f>'Mon armée'!L9-C5</f>
        <v>0</v>
      </c>
    </row>
    <row r="6" spans="1:8">
      <c r="A6" s="12"/>
      <c r="B6" s="34" t="s">
        <v>16</v>
      </c>
      <c r="C6" s="27">
        <f>IFERROR(VLOOKUP(B6,'Calculs OS'!$L$15:$P$31,5,FALSE),0)</f>
        <v>0</v>
      </c>
      <c r="D6" s="11"/>
      <c r="E6" s="32">
        <f>'Calcul XP'!C25</f>
        <v>0</v>
      </c>
      <c r="F6" s="11"/>
      <c r="G6" s="34" t="s">
        <v>16</v>
      </c>
      <c r="H6" s="27">
        <f>'Mon armée'!L10-C6</f>
        <v>0</v>
      </c>
    </row>
    <row r="7" spans="1:8">
      <c r="A7" s="12"/>
      <c r="B7" s="34" t="s">
        <v>19</v>
      </c>
      <c r="C7" s="27">
        <f>IFERROR(VLOOKUP(B7,'Calculs OS'!$L$15:$P$31,5,FALSE),0)</f>
        <v>0</v>
      </c>
      <c r="D7" s="11"/>
      <c r="E7" s="32">
        <f>'Calcul XP'!C26</f>
        <v>0</v>
      </c>
      <c r="F7" s="11"/>
      <c r="G7" s="34" t="s">
        <v>19</v>
      </c>
      <c r="H7" s="27">
        <f>'Mon armée'!L11-C7</f>
        <v>0</v>
      </c>
    </row>
    <row r="8" spans="1:8">
      <c r="A8" s="12"/>
      <c r="B8" s="34" t="s">
        <v>20</v>
      </c>
      <c r="C8" s="27">
        <f>IFERROR(VLOOKUP(B8,'Calculs OS'!$L$15:$P$31,5,FALSE),0)</f>
        <v>0</v>
      </c>
      <c r="D8" s="11"/>
      <c r="E8" s="32">
        <f>'Calcul XP'!C27</f>
        <v>0</v>
      </c>
      <c r="F8" s="11"/>
      <c r="G8" s="34" t="s">
        <v>20</v>
      </c>
      <c r="H8" s="27">
        <f>'Mon armée'!L12-C8</f>
        <v>3000</v>
      </c>
    </row>
    <row r="9" spans="1:8">
      <c r="A9" s="12"/>
      <c r="B9" s="34" t="s">
        <v>23</v>
      </c>
      <c r="C9" s="27">
        <f>IFERROR(VLOOKUP(B9,'Calculs OS'!$L$15:$P$31,5,FALSE),0)</f>
        <v>0</v>
      </c>
      <c r="D9" s="11"/>
      <c r="E9" s="32"/>
      <c r="F9" s="11"/>
      <c r="G9" s="34" t="s">
        <v>23</v>
      </c>
      <c r="H9" s="27">
        <f>'Mon armée'!L13-C9</f>
        <v>0</v>
      </c>
    </row>
    <row r="10" spans="1:8">
      <c r="A10" s="12"/>
      <c r="B10" s="34" t="s">
        <v>25</v>
      </c>
      <c r="C10" s="27">
        <f>IFERROR(VLOOKUP(B10,'Calculs OS'!$L$15:$P$31,5,FALSE),0)</f>
        <v>0</v>
      </c>
      <c r="D10" s="11"/>
      <c r="E10" s="32">
        <f>'Calcul XP'!C29</f>
        <v>0</v>
      </c>
      <c r="F10" s="11"/>
      <c r="G10" s="34" t="s">
        <v>25</v>
      </c>
      <c r="H10" s="27">
        <f>'Mon armée'!L14-C10</f>
        <v>0</v>
      </c>
    </row>
    <row r="11" spans="1:8">
      <c r="A11" s="12"/>
      <c r="B11" s="34" t="s">
        <v>28</v>
      </c>
      <c r="C11" s="27">
        <f>IFERROR(VLOOKUP(B11,'Calculs OS'!$L$15:$P$31,5,FALSE),0)</f>
        <v>0</v>
      </c>
      <c r="D11" s="11"/>
      <c r="E11" s="32"/>
      <c r="F11" s="11"/>
      <c r="G11" s="34" t="s">
        <v>28</v>
      </c>
      <c r="H11" s="27">
        <f>'Mon armée'!L15-C11</f>
        <v>100000</v>
      </c>
    </row>
    <row r="12" spans="1:8">
      <c r="A12" s="12"/>
      <c r="B12" s="34" t="s">
        <v>29</v>
      </c>
      <c r="C12" s="27">
        <f>IFERROR(VLOOKUP(B12,'Calculs OS'!$L$15:$P$31,5,FALSE),0)</f>
        <v>0</v>
      </c>
      <c r="D12" s="11"/>
      <c r="E12" s="32"/>
      <c r="F12" s="11"/>
      <c r="G12" s="34" t="s">
        <v>29</v>
      </c>
      <c r="H12" s="27">
        <f>'Mon armée'!L16-C12</f>
        <v>0</v>
      </c>
    </row>
    <row r="13" spans="1:8">
      <c r="A13" s="12"/>
      <c r="B13" s="34" t="s">
        <v>31</v>
      </c>
      <c r="C13" s="27">
        <f>IFERROR(VLOOKUP(B13,'Calculs OS'!$L$15:$P$31,5,FALSE),0)</f>
        <v>255618.8552188552</v>
      </c>
      <c r="D13" s="11"/>
      <c r="E13" s="32">
        <f>'Calcul XP'!C32</f>
        <v>70933.948155611506</v>
      </c>
      <c r="F13" s="11"/>
      <c r="G13" s="34" t="s">
        <v>31</v>
      </c>
      <c r="H13" s="27">
        <f>'Mon armée'!L17-C13</f>
        <v>13116038.144781144</v>
      </c>
    </row>
    <row r="14" spans="1:8">
      <c r="A14" s="12"/>
      <c r="B14" s="34" t="s">
        <v>32</v>
      </c>
      <c r="C14" s="27">
        <f>IFERROR(VLOOKUP(B14,'Calculs OS'!$L$15:$P$31,5,FALSE),0)</f>
        <v>0</v>
      </c>
      <c r="D14" s="11"/>
      <c r="E14" s="32"/>
      <c r="F14" s="11"/>
      <c r="G14" s="34" t="s">
        <v>32</v>
      </c>
      <c r="H14" s="27">
        <f>'Mon armée'!L18-C14</f>
        <v>18013</v>
      </c>
    </row>
    <row r="15" spans="1:8">
      <c r="A15" s="12"/>
      <c r="B15" s="34" t="s">
        <v>33</v>
      </c>
      <c r="C15" s="27">
        <f>IFERROR(VLOOKUP(B15,'Calculs OS'!$L$15:$P$31,5,FALSE),0)</f>
        <v>0</v>
      </c>
      <c r="D15" s="11"/>
      <c r="E15" s="32">
        <f>'Calcul XP'!C34</f>
        <v>0</v>
      </c>
      <c r="F15" s="11"/>
      <c r="G15" s="34" t="s">
        <v>33</v>
      </c>
      <c r="H15" s="27">
        <f>'Mon armée'!L19-C15</f>
        <v>13160326</v>
      </c>
    </row>
    <row r="16" spans="1:8">
      <c r="A16" s="12"/>
      <c r="B16" s="34" t="s">
        <v>34</v>
      </c>
      <c r="C16" s="27">
        <f>IFERROR(VLOOKUP(B16,'Calculs OS'!$L$15:$P$31,5,FALSE),0)</f>
        <v>0</v>
      </c>
      <c r="D16" s="11"/>
      <c r="E16" s="32"/>
      <c r="F16" s="11"/>
      <c r="G16" s="34" t="s">
        <v>34</v>
      </c>
      <c r="H16" s="27">
        <f>'Mon armée'!L20-C16</f>
        <v>22369</v>
      </c>
    </row>
    <row r="17" spans="1:8">
      <c r="A17" s="46"/>
      <c r="B17" s="22"/>
      <c r="C17" s="22"/>
      <c r="D17" s="12"/>
      <c r="E17" s="34" t="s">
        <v>132</v>
      </c>
      <c r="F17" s="7"/>
      <c r="G17" s="22"/>
      <c r="H17" s="22"/>
    </row>
    <row r="18" spans="1:8">
      <c r="A18" s="12"/>
      <c r="B18" s="34" t="s">
        <v>133</v>
      </c>
      <c r="C18" s="27">
        <f>((((((((((((((C3*3)+(C4*5))+(C5*7))+(C6*10))+(C7*15))+C8)+C9)+(C10*30))+(C11*35))+(C12*24))+(C13*55))+(C14*80))+(C15*50))+(C16*55))*(1+('Mon armée'!$I10/10))</f>
        <v>43778314.814814813</v>
      </c>
      <c r="D18" s="11"/>
      <c r="E18" s="27">
        <f>(((((((E3*(5-3))+(E4*(7-5)))+(E6*(15-10)))+(E7*(24-15)))+(E10*(35-5)))+(E13*(80-55)))+(E15*(55-50)))*(1+('Mon armée'!I10/10))</f>
        <v>5498626.6190697607</v>
      </c>
      <c r="F18" s="11"/>
      <c r="G18" s="34" t="s">
        <v>133</v>
      </c>
      <c r="H18" s="27">
        <f>((((((((((((((H3*3)+(H4*5))+(H5*7))+(H6*10))+(H7*15))+H8)+H9)+(H10*30))+(H11*35))+(H12*24))+(H13*55))+(H14*80))+(H15*50))+(H16*55))*(1+('Mon armée'!$I10/10))</f>
        <v>7189696944.7851858</v>
      </c>
    </row>
    <row r="19" spans="1:8">
      <c r="A19" s="46"/>
      <c r="B19" s="35"/>
      <c r="C19" s="35"/>
      <c r="D19" s="6"/>
      <c r="E19" s="22"/>
      <c r="F19" s="46"/>
      <c r="G19" s="35"/>
      <c r="H19" s="35"/>
    </row>
    <row r="20" spans="1:8">
      <c r="A20" s="46"/>
      <c r="B20" s="46"/>
      <c r="C20" s="12"/>
      <c r="D20" s="34" t="s">
        <v>134</v>
      </c>
      <c r="E20" s="27">
        <f>(C18+E18)+H18</f>
        <v>7238973886.2190704</v>
      </c>
      <c r="F20" s="7"/>
      <c r="G20" s="46"/>
      <c r="H20" s="4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5"/>
  <sheetViews>
    <sheetView tabSelected="1" workbookViewId="0">
      <selection activeCell="G26" sqref="G26"/>
    </sheetView>
  </sheetViews>
  <sheetFormatPr baseColWidth="10" defaultColWidth="12.109375" defaultRowHeight="14.25" customHeight="1"/>
  <cols>
    <col min="2" max="2" width="15.5546875" customWidth="1"/>
    <col min="3" max="3" width="21.33203125" customWidth="1"/>
    <col min="11" max="11" width="14.33203125" customWidth="1"/>
  </cols>
  <sheetData>
    <row r="1" spans="1:14">
      <c r="A1" s="34" t="s">
        <v>52</v>
      </c>
      <c r="B1" s="34" t="s">
        <v>69</v>
      </c>
      <c r="C1" s="34" t="s">
        <v>70</v>
      </c>
      <c r="D1" s="34" t="s">
        <v>71</v>
      </c>
      <c r="E1" s="7"/>
      <c r="F1" s="6"/>
      <c r="G1" s="6" t="s">
        <v>135</v>
      </c>
      <c r="H1" s="46"/>
      <c r="I1" s="48" t="s">
        <v>136</v>
      </c>
      <c r="J1" s="48" t="s">
        <v>137</v>
      </c>
      <c r="K1" s="46"/>
      <c r="L1" s="46"/>
      <c r="M1" s="46" t="s">
        <v>138</v>
      </c>
      <c r="N1" s="46" t="s">
        <v>139</v>
      </c>
    </row>
    <row r="2" spans="1:14">
      <c r="A2" s="34" t="s">
        <v>10</v>
      </c>
      <c r="B2" s="34">
        <v>3</v>
      </c>
      <c r="C2" s="34">
        <v>2</v>
      </c>
      <c r="D2" s="34">
        <v>8</v>
      </c>
      <c r="E2" s="11"/>
      <c r="F2" s="34" t="s">
        <v>10</v>
      </c>
      <c r="G2" s="36">
        <v>1</v>
      </c>
      <c r="H2" s="7"/>
      <c r="I2" s="48" t="str">
        <f>'Résumés Armées'!G19</f>
        <v>760 322</v>
      </c>
      <c r="J2" s="48">
        <f>'Opti XP'!C3</f>
        <v>21000</v>
      </c>
      <c r="K2" s="12"/>
      <c r="L2" s="7"/>
      <c r="M2" s="46">
        <f t="shared" ref="M2:M15" si="0">I2*G2</f>
        <v>760322</v>
      </c>
      <c r="N2" s="46">
        <f t="shared" ref="N2:N15" si="1">J2*G2</f>
        <v>21000</v>
      </c>
    </row>
    <row r="3" spans="1:14">
      <c r="A3" s="34" t="s">
        <v>12</v>
      </c>
      <c r="B3" s="34">
        <v>5</v>
      </c>
      <c r="C3" s="34">
        <v>4</v>
      </c>
      <c r="D3" s="34">
        <v>10</v>
      </c>
      <c r="E3" s="11"/>
      <c r="F3" s="34" t="s">
        <v>12</v>
      </c>
      <c r="G3" s="36">
        <v>1.4705882400000001</v>
      </c>
      <c r="H3" s="7"/>
      <c r="I3" s="48">
        <f>'Résumés Armées'!G20</f>
        <v>0</v>
      </c>
      <c r="J3" s="48">
        <f>'Opti XP'!C4</f>
        <v>0</v>
      </c>
      <c r="K3" s="46"/>
      <c r="L3" s="46"/>
      <c r="M3" s="46">
        <f t="shared" si="0"/>
        <v>0</v>
      </c>
      <c r="N3" s="46">
        <f t="shared" si="1"/>
        <v>0</v>
      </c>
    </row>
    <row r="4" spans="1:14">
      <c r="A4" s="34" t="s">
        <v>14</v>
      </c>
      <c r="B4" s="34">
        <v>7</v>
      </c>
      <c r="C4" s="34">
        <v>6</v>
      </c>
      <c r="D4" s="34">
        <v>13</v>
      </c>
      <c r="E4" s="11"/>
      <c r="F4" s="34" t="s">
        <v>14</v>
      </c>
      <c r="G4" s="36">
        <v>2</v>
      </c>
      <c r="H4" s="7"/>
      <c r="I4" s="48">
        <f>'Résumés Armées'!G21</f>
        <v>0</v>
      </c>
      <c r="J4" s="48">
        <f>'Opti XP'!C5</f>
        <v>0</v>
      </c>
      <c r="K4" s="46"/>
      <c r="L4" s="46"/>
      <c r="M4" s="46">
        <f t="shared" si="0"/>
        <v>0</v>
      </c>
      <c r="N4" s="46">
        <f t="shared" si="1"/>
        <v>0</v>
      </c>
    </row>
    <row r="5" spans="1:14">
      <c r="A5" s="34" t="s">
        <v>16</v>
      </c>
      <c r="B5" s="34">
        <v>10</v>
      </c>
      <c r="C5" s="34">
        <v>9</v>
      </c>
      <c r="D5" s="34">
        <v>16</v>
      </c>
      <c r="E5" s="11"/>
      <c r="F5" s="34" t="s">
        <v>16</v>
      </c>
      <c r="G5" s="36">
        <v>2.6705969999999999</v>
      </c>
      <c r="H5" s="7"/>
      <c r="I5" s="48">
        <f>'Résumés Armées'!G22</f>
        <v>0</v>
      </c>
      <c r="J5" s="48">
        <f>'Opti XP'!C6</f>
        <v>0</v>
      </c>
      <c r="K5" s="46"/>
      <c r="L5" s="46"/>
      <c r="M5" s="46">
        <f t="shared" si="0"/>
        <v>0</v>
      </c>
      <c r="N5" s="46">
        <f t="shared" si="1"/>
        <v>0</v>
      </c>
    </row>
    <row r="6" spans="1:14">
      <c r="A6" s="34" t="s">
        <v>19</v>
      </c>
      <c r="B6" s="34">
        <v>15</v>
      </c>
      <c r="C6" s="34">
        <v>14</v>
      </c>
      <c r="D6" s="34">
        <v>20</v>
      </c>
      <c r="E6" s="11"/>
      <c r="F6" s="34" t="s">
        <v>19</v>
      </c>
      <c r="G6" s="36">
        <v>3.670585</v>
      </c>
      <c r="H6" s="7"/>
      <c r="I6" s="48">
        <f>'Résumés Armées'!G23</f>
        <v>0</v>
      </c>
      <c r="J6" s="48">
        <f>'Opti XP'!C7</f>
        <v>0</v>
      </c>
      <c r="K6" s="46"/>
      <c r="L6" s="46"/>
      <c r="M6" s="46">
        <f t="shared" si="0"/>
        <v>0</v>
      </c>
      <c r="N6" s="46">
        <f t="shared" si="1"/>
        <v>0</v>
      </c>
    </row>
    <row r="7" spans="1:14">
      <c r="A7" s="34" t="s">
        <v>20</v>
      </c>
      <c r="B7" s="34">
        <v>1</v>
      </c>
      <c r="C7" s="34">
        <v>25</v>
      </c>
      <c r="D7" s="34">
        <v>30</v>
      </c>
      <c r="E7" s="11"/>
      <c r="F7" s="34" t="s">
        <v>20</v>
      </c>
      <c r="G7" s="36">
        <v>5.1059000000000001</v>
      </c>
      <c r="H7" s="7"/>
      <c r="I7" s="48">
        <f>'Résumés Armées'!G24</f>
        <v>0</v>
      </c>
      <c r="J7" s="48">
        <f>'Opti XP'!C8</f>
        <v>0</v>
      </c>
      <c r="K7" s="46"/>
      <c r="L7" s="46"/>
      <c r="M7" s="46">
        <f t="shared" si="0"/>
        <v>0</v>
      </c>
      <c r="N7" s="46">
        <f t="shared" si="1"/>
        <v>0</v>
      </c>
    </row>
    <row r="8" spans="1:14">
      <c r="A8" s="34" t="s">
        <v>23</v>
      </c>
      <c r="B8" s="34">
        <v>1</v>
      </c>
      <c r="C8" s="34">
        <v>35</v>
      </c>
      <c r="D8" s="34">
        <v>40</v>
      </c>
      <c r="E8" s="11"/>
      <c r="F8" s="34" t="s">
        <v>23</v>
      </c>
      <c r="G8" s="36">
        <v>6.9647500000000004</v>
      </c>
      <c r="H8" s="7"/>
      <c r="I8" s="48">
        <f>'Résumés Armées'!G25</f>
        <v>0</v>
      </c>
      <c r="J8" s="48">
        <f>'Opti XP'!C9</f>
        <v>0</v>
      </c>
      <c r="K8" s="46"/>
      <c r="L8" s="46"/>
      <c r="M8" s="46">
        <f t="shared" si="0"/>
        <v>0</v>
      </c>
      <c r="N8" s="46">
        <f t="shared" si="1"/>
        <v>0</v>
      </c>
    </row>
    <row r="9" spans="1:14">
      <c r="A9" s="34" t="s">
        <v>25</v>
      </c>
      <c r="B9" s="34">
        <v>30</v>
      </c>
      <c r="C9" s="34">
        <v>15</v>
      </c>
      <c r="D9" s="34">
        <v>10</v>
      </c>
      <c r="E9" s="11"/>
      <c r="F9" s="34" t="s">
        <v>25</v>
      </c>
      <c r="G9" s="36">
        <v>3.4705499999999998</v>
      </c>
      <c r="H9" s="7"/>
      <c r="I9" s="48">
        <f>'Résumés Armées'!G26</f>
        <v>0</v>
      </c>
      <c r="J9" s="48">
        <f>'Opti XP'!C10</f>
        <v>0</v>
      </c>
      <c r="K9" s="46"/>
      <c r="L9" s="46"/>
      <c r="M9" s="46">
        <f t="shared" si="0"/>
        <v>0</v>
      </c>
      <c r="N9" s="46">
        <f t="shared" si="1"/>
        <v>0</v>
      </c>
    </row>
    <row r="10" spans="1:14">
      <c r="A10" s="34" t="s">
        <v>28</v>
      </c>
      <c r="B10" s="34">
        <v>35</v>
      </c>
      <c r="C10" s="34">
        <v>18</v>
      </c>
      <c r="D10" s="34">
        <v>12</v>
      </c>
      <c r="E10" s="11"/>
      <c r="F10" s="34" t="s">
        <v>28</v>
      </c>
      <c r="G10" s="36">
        <v>4.1059000000000001</v>
      </c>
      <c r="H10" s="7"/>
      <c r="I10" s="48">
        <f>'Résumés Armées'!G27</f>
        <v>0</v>
      </c>
      <c r="J10" s="48">
        <f>'Opti XP'!C11</f>
        <v>0</v>
      </c>
      <c r="K10" s="46"/>
      <c r="L10" s="46"/>
      <c r="M10" s="46">
        <f t="shared" si="0"/>
        <v>0</v>
      </c>
      <c r="N10" s="46">
        <f t="shared" si="1"/>
        <v>0</v>
      </c>
    </row>
    <row r="11" spans="1:14">
      <c r="A11" s="34" t="s">
        <v>29</v>
      </c>
      <c r="B11" s="34">
        <v>24</v>
      </c>
      <c r="C11" s="34">
        <v>23</v>
      </c>
      <c r="D11" s="34">
        <v>27</v>
      </c>
      <c r="E11" s="11"/>
      <c r="F11" s="34" t="s">
        <v>29</v>
      </c>
      <c r="G11" s="36">
        <v>5.4117660000000001</v>
      </c>
      <c r="H11" s="7"/>
      <c r="I11" s="48">
        <f>'Résumés Armées'!G28</f>
        <v>0</v>
      </c>
      <c r="J11" s="48">
        <f>'Opti XP'!C12</f>
        <v>0</v>
      </c>
      <c r="K11" s="46"/>
      <c r="L11" s="46"/>
      <c r="M11" s="46">
        <f t="shared" si="0"/>
        <v>0</v>
      </c>
      <c r="N11" s="46">
        <f t="shared" si="1"/>
        <v>0</v>
      </c>
    </row>
    <row r="12" spans="1:14">
      <c r="A12" s="34" t="s">
        <v>31</v>
      </c>
      <c r="B12" s="34">
        <v>55</v>
      </c>
      <c r="C12" s="34">
        <v>1</v>
      </c>
      <c r="D12" s="34">
        <v>35</v>
      </c>
      <c r="E12" s="11"/>
      <c r="F12" s="34" t="s">
        <v>31</v>
      </c>
      <c r="G12" s="36">
        <v>7.5529500000000001</v>
      </c>
      <c r="H12" s="7"/>
      <c r="I12" s="48">
        <f>'Résumés Armées'!G29</f>
        <v>0</v>
      </c>
      <c r="J12" s="48">
        <f>'Opti XP'!C13</f>
        <v>255618.8552188552</v>
      </c>
      <c r="K12" s="46"/>
      <c r="L12" s="46"/>
      <c r="M12" s="46">
        <f t="shared" si="0"/>
        <v>0</v>
      </c>
      <c r="N12" s="46">
        <f t="shared" si="1"/>
        <v>1930676.4325252525</v>
      </c>
    </row>
    <row r="13" spans="1:14">
      <c r="A13" s="34" t="s">
        <v>32</v>
      </c>
      <c r="B13" s="34">
        <v>80</v>
      </c>
      <c r="C13" s="34">
        <v>1</v>
      </c>
      <c r="D13" s="34">
        <v>50</v>
      </c>
      <c r="E13" s="11"/>
      <c r="F13" s="34" t="s">
        <v>32</v>
      </c>
      <c r="G13" s="39">
        <v>11.6471</v>
      </c>
      <c r="H13" s="7"/>
      <c r="I13" s="48">
        <f>'Résumés Armées'!G30</f>
        <v>0</v>
      </c>
      <c r="J13" s="48">
        <f>'Opti XP'!C14</f>
        <v>0</v>
      </c>
      <c r="K13" s="46"/>
      <c r="L13" s="46"/>
      <c r="M13" s="46">
        <f t="shared" si="0"/>
        <v>0</v>
      </c>
      <c r="N13" s="46">
        <f t="shared" si="1"/>
        <v>0</v>
      </c>
    </row>
    <row r="14" spans="1:14">
      <c r="A14" s="34" t="s">
        <v>33</v>
      </c>
      <c r="B14" s="34">
        <v>50</v>
      </c>
      <c r="C14" s="34">
        <v>50</v>
      </c>
      <c r="D14" s="34">
        <v>50</v>
      </c>
      <c r="E14" s="11"/>
      <c r="F14" s="34" t="s">
        <v>33</v>
      </c>
      <c r="G14" s="36">
        <v>10.694125</v>
      </c>
      <c r="H14" s="7"/>
      <c r="I14" s="48">
        <f>'Résumés Armées'!G31</f>
        <v>0</v>
      </c>
      <c r="J14" s="48">
        <f>'Opti XP'!C15</f>
        <v>0</v>
      </c>
      <c r="K14" s="46"/>
      <c r="L14" s="46"/>
      <c r="M14" s="46">
        <f t="shared" si="0"/>
        <v>0</v>
      </c>
      <c r="N14" s="46">
        <f t="shared" si="1"/>
        <v>0</v>
      </c>
    </row>
    <row r="15" spans="1:14">
      <c r="A15" s="34" t="s">
        <v>34</v>
      </c>
      <c r="B15" s="34">
        <v>55</v>
      </c>
      <c r="C15" s="34">
        <v>55</v>
      </c>
      <c r="D15" s="34">
        <v>55</v>
      </c>
      <c r="E15" s="11"/>
      <c r="F15" s="34" t="s">
        <v>34</v>
      </c>
      <c r="G15" s="36">
        <v>11.764725</v>
      </c>
      <c r="H15" s="7"/>
      <c r="I15" s="48">
        <f>'Résumés Armées'!G32</f>
        <v>0</v>
      </c>
      <c r="J15" s="48">
        <f>'Opti XP'!C16</f>
        <v>0</v>
      </c>
      <c r="K15" s="46"/>
      <c r="L15" s="46"/>
      <c r="M15" s="46">
        <f t="shared" si="0"/>
        <v>0</v>
      </c>
      <c r="N15" s="46">
        <f t="shared" si="1"/>
        <v>0</v>
      </c>
    </row>
    <row r="16" spans="1:14">
      <c r="A16" s="35"/>
      <c r="B16" s="35"/>
      <c r="C16" s="35"/>
      <c r="D16" s="35"/>
      <c r="E16" s="46"/>
      <c r="F16" s="35"/>
      <c r="G16" s="35"/>
      <c r="H16" s="46"/>
      <c r="I16" s="46"/>
      <c r="J16" s="46"/>
      <c r="K16" s="46"/>
      <c r="L16" s="46" t="s">
        <v>140</v>
      </c>
      <c r="M16" s="46">
        <f>SUM(M2:M15)</f>
        <v>760322</v>
      </c>
      <c r="N16" s="46">
        <f>SUM(N2:N15)</f>
        <v>1951676.4325252525</v>
      </c>
    </row>
    <row r="17" spans="1:14">
      <c r="A17" s="46"/>
      <c r="B17" s="46" t="s">
        <v>141</v>
      </c>
      <c r="C17" s="46">
        <f>((M16/N16)^2)*43.56</f>
        <v>6.611002927506858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4">
      <c r="A18" s="46"/>
      <c r="B18" s="46" t="s">
        <v>142</v>
      </c>
      <c r="C18" s="46">
        <f>C17*(1+('Mon armée'!I18/10))</f>
        <v>11.238704976761658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</row>
    <row r="19" spans="1:14">
      <c r="A19" s="46"/>
      <c r="B19" s="46" t="s">
        <v>143</v>
      </c>
      <c r="C19" s="46">
        <f>(C18*(1+('Armée Ennemie'!I7/10)))*(1+('Armée Ennemie'!J7/10))</f>
        <v>258.07396613304553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</row>
    <row r="20" spans="1:14">
      <c r="A20" s="46"/>
      <c r="B20" s="46" t="s">
        <v>144</v>
      </c>
      <c r="C20" s="46">
        <f>(C19/(1+('Mon armée'!I12/10)))/(1+('Mon armée'!I10/10))</f>
        <v>27.749888831510269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4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</row>
    <row r="22" spans="1:14">
      <c r="A22" s="46"/>
      <c r="B22" s="46" t="s">
        <v>145</v>
      </c>
      <c r="C22" s="29">
        <f>MIN(((J2-'Calculs OS'!F8)*$C$20)/100,(J2-'Calculs OS'!F8))</f>
        <v>200.90919514013436</v>
      </c>
      <c r="D22" s="46" t="s">
        <v>10</v>
      </c>
      <c r="E22" s="46"/>
      <c r="F22" s="46"/>
      <c r="G22" s="46"/>
      <c r="H22" s="46"/>
      <c r="I22" s="46"/>
      <c r="J22" s="46"/>
      <c r="K22" s="46"/>
      <c r="L22" s="46"/>
      <c r="M22" s="46"/>
      <c r="N22" s="46"/>
    </row>
    <row r="23" spans="1:14">
      <c r="A23" s="46"/>
      <c r="B23" s="46"/>
      <c r="C23" s="29">
        <f>MIN((J3*$C$20)/100,J3)</f>
        <v>0</v>
      </c>
      <c r="D23" s="46" t="s">
        <v>12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</row>
    <row r="24" spans="1:14">
      <c r="A24" s="46"/>
      <c r="B24" s="46"/>
      <c r="C24" s="29" t="s">
        <v>146</v>
      </c>
      <c r="D24" s="46" t="s">
        <v>14</v>
      </c>
      <c r="E24" s="46"/>
      <c r="F24" s="46"/>
      <c r="G24" s="46"/>
      <c r="H24" s="46"/>
      <c r="I24" s="46"/>
      <c r="J24" s="46"/>
      <c r="K24" s="46"/>
      <c r="L24" s="46"/>
      <c r="M24" s="46"/>
      <c r="N24" s="46"/>
    </row>
    <row r="25" spans="1:14">
      <c r="A25" s="46"/>
      <c r="B25" s="46"/>
      <c r="C25" s="29">
        <f>MIN((J5*$C$20)/100,J5)</f>
        <v>0</v>
      </c>
      <c r="D25" s="46" t="s">
        <v>16</v>
      </c>
      <c r="E25" s="46"/>
      <c r="F25" s="46"/>
      <c r="G25" s="46"/>
      <c r="H25" s="46"/>
      <c r="I25" s="46"/>
      <c r="J25" s="46"/>
      <c r="K25" s="46"/>
      <c r="L25" s="46"/>
      <c r="M25" s="46"/>
      <c r="N25" s="46"/>
    </row>
    <row r="26" spans="1:14">
      <c r="A26" s="46"/>
      <c r="B26" s="46"/>
      <c r="C26" s="29">
        <f>MIN((J6*$C$20)/100,J6)</f>
        <v>0</v>
      </c>
      <c r="D26" s="46" t="s">
        <v>19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</row>
    <row r="27" spans="1:14">
      <c r="A27" s="46"/>
      <c r="B27" s="46"/>
      <c r="C27" s="29">
        <f>MIN((J7*$C$20)/100,J7)</f>
        <v>0</v>
      </c>
      <c r="D27" s="46" t="s">
        <v>20</v>
      </c>
      <c r="E27" s="46"/>
      <c r="F27" s="46"/>
      <c r="G27" s="46"/>
      <c r="H27" s="46"/>
      <c r="I27" s="46"/>
      <c r="J27" s="46"/>
      <c r="K27" s="46"/>
      <c r="L27" s="46"/>
      <c r="M27" s="46"/>
      <c r="N27" s="46"/>
    </row>
    <row r="28" spans="1:14">
      <c r="A28" s="46"/>
      <c r="B28" s="46"/>
      <c r="C28" s="29" t="s">
        <v>146</v>
      </c>
      <c r="D28" s="46" t="s">
        <v>23</v>
      </c>
      <c r="E28" s="46"/>
      <c r="F28" s="46"/>
      <c r="G28" s="46"/>
      <c r="H28" s="46"/>
      <c r="I28" s="46"/>
      <c r="J28" s="46"/>
      <c r="K28" s="46"/>
      <c r="L28" s="46"/>
      <c r="M28" s="46"/>
      <c r="N28" s="46"/>
    </row>
    <row r="29" spans="1:14">
      <c r="A29" s="46"/>
      <c r="B29" s="46"/>
      <c r="C29" s="29">
        <f>MIN((J9*$C$20)/100,J9)</f>
        <v>0</v>
      </c>
      <c r="D29" s="46" t="s">
        <v>25</v>
      </c>
      <c r="E29" s="46"/>
      <c r="F29" s="46"/>
      <c r="G29" s="46"/>
      <c r="H29" s="46"/>
      <c r="I29" s="46"/>
      <c r="J29" s="46"/>
      <c r="K29" s="46"/>
      <c r="L29" s="46"/>
      <c r="M29" s="46"/>
      <c r="N29" s="46"/>
    </row>
    <row r="30" spans="1:14">
      <c r="A30" s="46"/>
      <c r="B30" s="46"/>
      <c r="C30" s="29" t="s">
        <v>146</v>
      </c>
      <c r="D30" s="46" t="s">
        <v>28</v>
      </c>
      <c r="E30" s="46"/>
      <c r="F30" s="46"/>
      <c r="G30" s="46"/>
      <c r="H30" s="46"/>
      <c r="I30" s="46"/>
      <c r="J30" s="46"/>
      <c r="K30" s="46"/>
      <c r="L30" s="46"/>
      <c r="M30" s="46"/>
      <c r="N30" s="46"/>
    </row>
    <row r="31" spans="1:14">
      <c r="A31" s="46"/>
      <c r="B31" s="46"/>
      <c r="C31" s="29" t="s">
        <v>146</v>
      </c>
      <c r="D31" s="46" t="s">
        <v>29</v>
      </c>
      <c r="E31" s="46"/>
      <c r="F31" s="46"/>
      <c r="G31" s="46"/>
      <c r="H31" s="46"/>
      <c r="I31" s="46"/>
      <c r="J31" s="46"/>
      <c r="K31" s="46"/>
      <c r="L31" s="46"/>
      <c r="M31" s="46"/>
      <c r="N31" s="46"/>
    </row>
    <row r="32" spans="1:14">
      <c r="A32" s="46"/>
      <c r="B32" s="46"/>
      <c r="C32" s="29">
        <f>MIN((J12*$C$20)/100,J12)</f>
        <v>70933.948155611506</v>
      </c>
      <c r="D32" s="46" t="s">
        <v>31</v>
      </c>
      <c r="E32" s="46"/>
      <c r="F32" s="46"/>
      <c r="G32" s="46"/>
      <c r="H32" s="46"/>
      <c r="I32" s="46"/>
      <c r="J32" s="46"/>
      <c r="K32" s="46"/>
      <c r="L32" s="46"/>
      <c r="M32" s="46"/>
      <c r="N32" s="46"/>
    </row>
    <row r="33" spans="1:14">
      <c r="A33" s="46"/>
      <c r="B33" s="46"/>
      <c r="C33" s="29" t="s">
        <v>146</v>
      </c>
      <c r="D33" s="46" t="s">
        <v>32</v>
      </c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>
      <c r="A34" s="46"/>
      <c r="B34" s="46"/>
      <c r="C34" s="29">
        <f>MIN((J14*$C$20)/100,J14)</f>
        <v>0</v>
      </c>
      <c r="D34" s="46" t="s">
        <v>33</v>
      </c>
      <c r="E34" s="46"/>
      <c r="F34" s="46"/>
      <c r="G34" s="46"/>
      <c r="H34" s="46"/>
      <c r="I34" s="46"/>
      <c r="J34" s="46"/>
      <c r="K34" s="46"/>
      <c r="L34" s="46"/>
      <c r="M34" s="46"/>
      <c r="N34" s="46"/>
    </row>
    <row r="35" spans="1:14">
      <c r="A35" s="46"/>
      <c r="B35" s="46"/>
      <c r="C35" s="29" t="s">
        <v>146</v>
      </c>
      <c r="D35" s="46" t="s">
        <v>34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Mon armée</vt:lpstr>
      <vt:lpstr>Armée Ennemie</vt:lpstr>
      <vt:lpstr>Data</vt:lpstr>
      <vt:lpstr>Résumés Armées</vt:lpstr>
      <vt:lpstr>Calculs OS</vt:lpstr>
      <vt:lpstr>Opti XP</vt:lpstr>
      <vt:lpstr>Calcul XP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 Boullenger</cp:lastModifiedBy>
  <dcterms:modified xsi:type="dcterms:W3CDTF">2013-05-30T17:05:52Z</dcterms:modified>
</cp:coreProperties>
</file>