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 activeTab="3"/>
  </bookViews>
  <sheets>
    <sheet name="labo" sheetId="13" r:id="rId1"/>
    <sheet name="extra" sheetId="7" r:id="rId2"/>
    <sheet name="NRJ" sheetId="11" r:id="rId3"/>
    <sheet name="terra" sheetId="4" r:id="rId4"/>
    <sheet name="ind" sheetId="12" r:id="rId5"/>
    <sheet name="Feuil1" sheetId="9" r:id="rId6"/>
  </sheets>
  <calcPr calcId="125725"/>
</workbook>
</file>

<file path=xl/calcChain.xml><?xml version="1.0" encoding="utf-8"?>
<calcChain xmlns="http://schemas.openxmlformats.org/spreadsheetml/2006/main">
  <c r="G30" i="4"/>
  <c r="G28"/>
  <c r="G23"/>
  <c r="G21"/>
  <c r="G17"/>
  <c r="G15"/>
  <c r="G12"/>
  <c r="G10"/>
  <c r="G9"/>
  <c r="G7"/>
  <c r="F69" i="12"/>
  <c r="H69" s="1"/>
  <c r="F58"/>
  <c r="H56"/>
  <c r="F56"/>
  <c r="H57" s="1"/>
  <c r="F47"/>
  <c r="H54" s="1"/>
  <c r="F45"/>
  <c r="H45" s="1"/>
  <c r="F38"/>
  <c r="H44" s="1"/>
  <c r="H53" s="1"/>
  <c r="H36"/>
  <c r="F36"/>
  <c r="H37" s="1"/>
  <c r="F30"/>
  <c r="H28"/>
  <c r="F28"/>
  <c r="H29" s="1"/>
  <c r="F23"/>
  <c r="F21"/>
  <c r="H21" s="1"/>
  <c r="F17"/>
  <c r="F15"/>
  <c r="H15" s="1"/>
  <c r="F12"/>
  <c r="H10"/>
  <c r="F10"/>
  <c r="H11" s="1"/>
  <c r="F9"/>
  <c r="F7"/>
  <c r="H7" s="1"/>
  <c r="G69" i="4"/>
  <c r="J18" s="1"/>
  <c r="G58"/>
  <c r="G56"/>
  <c r="J17" s="1"/>
  <c r="G47"/>
  <c r="G45"/>
  <c r="J15" s="1"/>
  <c r="G38"/>
  <c r="G36"/>
  <c r="J13" s="1"/>
  <c r="J8"/>
  <c r="G66" i="7"/>
  <c r="G54" s="1"/>
  <c r="G77"/>
  <c r="J19" s="1"/>
  <c r="G64"/>
  <c r="G78" i="13"/>
  <c r="J20" s="1"/>
  <c r="G66"/>
  <c r="G53" s="1"/>
  <c r="G41" s="1"/>
  <c r="G31" s="1"/>
  <c r="G80" i="11"/>
  <c r="J21" s="1"/>
  <c r="G69"/>
  <c r="G67" s="1"/>
  <c r="G77" i="9"/>
  <c r="G76"/>
  <c r="G64"/>
  <c r="G63"/>
  <c r="G75" s="1"/>
  <c r="G52"/>
  <c r="G62" s="1"/>
  <c r="G74" s="1"/>
  <c r="G51"/>
  <c r="G41"/>
  <c r="G40"/>
  <c r="G50" s="1"/>
  <c r="G61" s="1"/>
  <c r="G73" s="1"/>
  <c r="G31"/>
  <c r="G30"/>
  <c r="G39" s="1"/>
  <c r="G49" s="1"/>
  <c r="G60" s="1"/>
  <c r="G72" s="1"/>
  <c r="G22"/>
  <c r="G29" s="1"/>
  <c r="G38" s="1"/>
  <c r="G48" s="1"/>
  <c r="G59" s="1"/>
  <c r="G71" s="1"/>
  <c r="G21"/>
  <c r="G28" s="1"/>
  <c r="G37" s="1"/>
  <c r="G47" s="1"/>
  <c r="G58" s="1"/>
  <c r="G70" s="1"/>
  <c r="G15"/>
  <c r="G20" s="1"/>
  <c r="G27" s="1"/>
  <c r="G36" s="1"/>
  <c r="G46" s="1"/>
  <c r="G57" s="1"/>
  <c r="G69" s="1"/>
  <c r="G14"/>
  <c r="G19" s="1"/>
  <c r="G26" s="1"/>
  <c r="G35" s="1"/>
  <c r="G45" s="1"/>
  <c r="G56" s="1"/>
  <c r="G68" s="1"/>
  <c r="G10"/>
  <c r="G13" s="1"/>
  <c r="G18" s="1"/>
  <c r="G25" s="1"/>
  <c r="G34" s="1"/>
  <c r="G44" s="1"/>
  <c r="G55" s="1"/>
  <c r="G67" s="1"/>
  <c r="G9"/>
  <c r="G12" s="1"/>
  <c r="G17" s="1"/>
  <c r="G24" s="1"/>
  <c r="G33" s="1"/>
  <c r="G43" s="1"/>
  <c r="G54" s="1"/>
  <c r="G66" s="1"/>
  <c r="G7"/>
  <c r="G8" s="1"/>
  <c r="G11" s="1"/>
  <c r="G16" s="1"/>
  <c r="G23" s="1"/>
  <c r="G32" s="1"/>
  <c r="G42" s="1"/>
  <c r="G53" s="1"/>
  <c r="G65" s="1"/>
  <c r="J9" i="4" l="1"/>
  <c r="J10"/>
  <c r="J11"/>
  <c r="G23" i="13"/>
  <c r="G29"/>
  <c r="H14" i="12"/>
  <c r="H19" s="1"/>
  <c r="H25" s="1"/>
  <c r="H32" s="1"/>
  <c r="H40" s="1"/>
  <c r="H49" s="1"/>
  <c r="H60" s="1"/>
  <c r="H9"/>
  <c r="H68"/>
  <c r="H13"/>
  <c r="H16"/>
  <c r="H20" s="1"/>
  <c r="H26" s="1"/>
  <c r="H33" s="1"/>
  <c r="H41" s="1"/>
  <c r="H50" s="1"/>
  <c r="H61" s="1"/>
  <c r="H22"/>
  <c r="H27" s="1"/>
  <c r="H34" s="1"/>
  <c r="H42" s="1"/>
  <c r="H51" s="1"/>
  <c r="H62" s="1"/>
  <c r="H35"/>
  <c r="H43" s="1"/>
  <c r="H52" s="1"/>
  <c r="H63" s="1"/>
  <c r="H46"/>
  <c r="H55" s="1"/>
  <c r="H66" s="1"/>
  <c r="H65"/>
  <c r="H67"/>
  <c r="H70"/>
  <c r="H12"/>
  <c r="H17" s="1"/>
  <c r="H23" s="1"/>
  <c r="H30" s="1"/>
  <c r="H38" s="1"/>
  <c r="H47" s="1"/>
  <c r="H58" s="1"/>
  <c r="H18"/>
  <c r="H24"/>
  <c r="H31" s="1"/>
  <c r="H39" s="1"/>
  <c r="H48" s="1"/>
  <c r="H59" s="1"/>
  <c r="H64"/>
  <c r="J16" i="4"/>
  <c r="J7"/>
  <c r="J12"/>
  <c r="J14"/>
  <c r="J19"/>
  <c r="G51" i="13"/>
  <c r="G64"/>
  <c r="G57" i="11"/>
  <c r="G43" i="7"/>
  <c r="G33" s="1"/>
  <c r="G52"/>
  <c r="J16" s="1"/>
  <c r="J21" i="13"/>
  <c r="J17" i="7"/>
  <c r="J18"/>
  <c r="J22" i="11"/>
  <c r="G17" i="13" l="1"/>
  <c r="G21"/>
  <c r="J19"/>
  <c r="J18"/>
  <c r="G25" i="7"/>
  <c r="G31"/>
  <c r="G39" i="13"/>
  <c r="J17" s="1"/>
  <c r="G45" i="11"/>
  <c r="G35" s="1"/>
  <c r="G55"/>
  <c r="G41" i="7"/>
  <c r="J15" s="1"/>
  <c r="J18" i="11"/>
  <c r="J17"/>
  <c r="J19"/>
  <c r="J20"/>
  <c r="G33" l="1"/>
  <c r="G26"/>
  <c r="G12" i="13"/>
  <c r="G9" s="1"/>
  <c r="G7" s="1"/>
  <c r="G15"/>
  <c r="G23" i="7"/>
  <c r="J14" s="1"/>
  <c r="G18"/>
  <c r="G43" i="11"/>
  <c r="J16" s="1"/>
  <c r="J12" i="7"/>
  <c r="J16" i="13"/>
  <c r="J13" i="11" l="1"/>
  <c r="G24"/>
  <c r="G19"/>
  <c r="J15"/>
  <c r="G16" i="7"/>
  <c r="J11" s="1"/>
  <c r="G13"/>
  <c r="G9" s="1"/>
  <c r="G7" s="1"/>
  <c r="J13"/>
  <c r="J14" i="11"/>
  <c r="J15" i="13"/>
  <c r="J14"/>
  <c r="G17" i="11" l="1"/>
  <c r="G13"/>
  <c r="G9" s="1"/>
  <c r="G7" s="1"/>
  <c r="J12"/>
  <c r="G11" i="7"/>
  <c r="J12" i="13"/>
  <c r="J13"/>
  <c r="G10" l="1"/>
  <c r="J10" s="1"/>
  <c r="J10" i="7"/>
  <c r="J11" i="13"/>
  <c r="J9" i="7"/>
  <c r="J11" i="11"/>
  <c r="G11" l="1"/>
  <c r="J9" i="13"/>
  <c r="J7"/>
  <c r="J8" i="7"/>
  <c r="J7"/>
  <c r="J9" i="11" l="1"/>
  <c r="J10"/>
  <c r="J8"/>
  <c r="J7"/>
</calcChain>
</file>

<file path=xl/sharedStrings.xml><?xml version="1.0" encoding="utf-8"?>
<sst xmlns="http://schemas.openxmlformats.org/spreadsheetml/2006/main" count="474" uniqueCount="154">
  <si>
    <t>Hepta cola</t>
  </si>
  <si>
    <t>droïde multifonction</t>
  </si>
  <si>
    <t>Bloc de retraitement (20/min)</t>
  </si>
  <si>
    <t>Synthétiseur de protéines (48/min)</t>
  </si>
  <si>
    <t>Ferme hydroponique (100/min)</t>
  </si>
  <si>
    <t>K-Bot (210/min)</t>
  </si>
  <si>
    <t>Ferme aquaponique  (430/min)</t>
  </si>
  <si>
    <t>Boost nécéssaire</t>
  </si>
  <si>
    <t>Matière première</t>
  </si>
  <si>
    <t>eau pure</t>
  </si>
  <si>
    <t>glace</t>
  </si>
  <si>
    <t>nox</t>
  </si>
  <si>
    <t>cristal</t>
  </si>
  <si>
    <t>pyroxite</t>
  </si>
  <si>
    <t>heptanium</t>
  </si>
  <si>
    <t>adamanthe</t>
  </si>
  <si>
    <t>andium</t>
  </si>
  <si>
    <t>isogène</t>
  </si>
  <si>
    <t>iridium</t>
  </si>
  <si>
    <t>microfiltre</t>
  </si>
  <si>
    <t>combustible HOX</t>
  </si>
  <si>
    <t>bloc de retraitement</t>
  </si>
  <si>
    <t>synthétiseur de protéines</t>
  </si>
  <si>
    <t>servo-transmetteur</t>
  </si>
  <si>
    <t>k-bot</t>
  </si>
  <si>
    <t>aramide</t>
  </si>
  <si>
    <t>plastacier</t>
  </si>
  <si>
    <t>protofer</t>
  </si>
  <si>
    <t>Nom</t>
  </si>
  <si>
    <t>Boost</t>
  </si>
  <si>
    <t xml:space="preserve"> </t>
  </si>
  <si>
    <t>Niv</t>
  </si>
  <si>
    <t>Niv = Niveau de la technologie</t>
  </si>
  <si>
    <t>ferme hydroponique</t>
  </si>
  <si>
    <t>Analyseur de spectre (10/min)</t>
  </si>
  <si>
    <t>Découpeuse à faisseaux (24/min)</t>
  </si>
  <si>
    <t>Stabilisateur antigrav (52/min)</t>
  </si>
  <si>
    <t>nano-transistor</t>
  </si>
  <si>
    <t>découpeuse à faisseaux</t>
  </si>
  <si>
    <t>cellule anti-rad</t>
  </si>
  <si>
    <t>stabilisateur antigrav</t>
  </si>
  <si>
    <t>Découpeuse à plasma (210/min)</t>
  </si>
  <si>
    <t>plasmoïde</t>
  </si>
  <si>
    <t>Analyseur de spectre</t>
  </si>
  <si>
    <t>LES BOOST LABORATOIRES</t>
  </si>
  <si>
    <t>Hepta cola (15/min)</t>
  </si>
  <si>
    <t>Droïde multifonction (36/min)</t>
  </si>
  <si>
    <t>Support Holo</t>
  </si>
  <si>
    <t>Simulateur subatomique (78/min)</t>
  </si>
  <si>
    <t>xenodium</t>
  </si>
  <si>
    <t>Psychiks (160/min)</t>
  </si>
  <si>
    <t>simulateur subatomique</t>
  </si>
  <si>
    <t>Implant cerebral (210/min)</t>
  </si>
  <si>
    <t>psychiks</t>
  </si>
  <si>
    <t>Ordinateur quantique (630/min)</t>
  </si>
  <si>
    <t>implant cerebral</t>
  </si>
  <si>
    <t>condensat</t>
  </si>
  <si>
    <t>exodyne</t>
  </si>
  <si>
    <t>dunite</t>
  </si>
  <si>
    <t>ordinateur quantique</t>
  </si>
  <si>
    <t>Symbiote (1200/min)</t>
  </si>
  <si>
    <t>Biopolymère</t>
  </si>
  <si>
    <t>biomatériaux</t>
  </si>
  <si>
    <t>symbiote</t>
  </si>
  <si>
    <t>Sphère de connaissance (2300/min)</t>
  </si>
  <si>
    <t>ADN polymorphe</t>
  </si>
  <si>
    <t>méline</t>
  </si>
  <si>
    <t>sphère de connaissance</t>
  </si>
  <si>
    <t>Réseau de connaissance (4400/min)</t>
  </si>
  <si>
    <t>gravitons</t>
  </si>
  <si>
    <t>thorium alpha</t>
  </si>
  <si>
    <t>antimatière</t>
  </si>
  <si>
    <t>analyseur géodésique</t>
  </si>
  <si>
    <t>Analyseur géodésique (110/min)</t>
  </si>
  <si>
    <t>Excavatrice spatiale (420/min)</t>
  </si>
  <si>
    <t>découpeuse à plasma</t>
  </si>
  <si>
    <t>tritanium</t>
  </si>
  <si>
    <t>Découpeuse endothermique (810/min)</t>
  </si>
  <si>
    <t>Protorésine</t>
  </si>
  <si>
    <t>arkenite</t>
  </si>
  <si>
    <t>Excavatrice à distorsions (1600/min)</t>
  </si>
  <si>
    <t>découpeuse endothermique</t>
  </si>
  <si>
    <t>nanites</t>
  </si>
  <si>
    <t>Tunnelier spatial (2900/min)</t>
  </si>
  <si>
    <t>Quantité</t>
  </si>
  <si>
    <t>recycleur planétaire</t>
  </si>
  <si>
    <t>cristal énergetique</t>
  </si>
  <si>
    <t>ferme aquaponique</t>
  </si>
  <si>
    <t>Arcologie (1600/min)</t>
  </si>
  <si>
    <t>Recycleur planétaire (840/min)</t>
  </si>
  <si>
    <t>arcologie</t>
  </si>
  <si>
    <t>composés fibreux</t>
  </si>
  <si>
    <t>dôme Eden</t>
  </si>
  <si>
    <t>thorium pur ??</t>
  </si>
  <si>
    <t>thorium zeta</t>
  </si>
  <si>
    <t>En fond vert vos variables.</t>
  </si>
  <si>
    <r>
      <rPr>
        <b/>
        <i/>
        <sz val="11"/>
        <color theme="1"/>
        <rFont val="Calibri"/>
        <family val="2"/>
        <scheme val="minor"/>
      </rPr>
      <t xml:space="preserve">          </t>
    </r>
    <r>
      <rPr>
        <b/>
        <u/>
        <sz val="11"/>
        <color theme="1"/>
        <rFont val="Calibri"/>
        <family val="2"/>
        <scheme val="minor"/>
      </rPr>
      <t>LES BOOST COLONIES INDUSTRIALISATION</t>
    </r>
  </si>
  <si>
    <t>Fertilisant (20/min)</t>
  </si>
  <si>
    <t>fertilisant</t>
  </si>
  <si>
    <t>Banque de génome (48/min)</t>
  </si>
  <si>
    <t>banque de génome</t>
  </si>
  <si>
    <t>support holo</t>
  </si>
  <si>
    <t>Unité d'écomodification (100/min)</t>
  </si>
  <si>
    <t>unité d'écomodification</t>
  </si>
  <si>
    <t>iridium enrichi</t>
  </si>
  <si>
    <t>Générateur d'ozone (210/min)</t>
  </si>
  <si>
    <t>générateur d'ozone</t>
  </si>
  <si>
    <t>stabilisateur thermique</t>
  </si>
  <si>
    <t>Régulateur climatique  (430/min)</t>
  </si>
  <si>
    <t>régulateur climatique</t>
  </si>
  <si>
    <t>ferrogène</t>
  </si>
  <si>
    <t>puit de biomasse</t>
  </si>
  <si>
    <t>Puit de biomasse (840/min)</t>
  </si>
  <si>
    <t>Générateur de biosphère (1600/min)</t>
  </si>
  <si>
    <t>générateur de biosphère</t>
  </si>
  <si>
    <t>enzyme de synthèse</t>
  </si>
  <si>
    <t>constructeur organique</t>
  </si>
  <si>
    <t>Constructeur organique (3100/min)</t>
  </si>
  <si>
    <t>Replicateur (5900/min)</t>
  </si>
  <si>
    <t>Contrôleur Gaïa (5900/min)</t>
  </si>
  <si>
    <t>Dôme Eden (3100/min)</t>
  </si>
  <si>
    <t>Neutronium</t>
  </si>
  <si>
    <t>Antimatière</t>
  </si>
  <si>
    <t>Micro-réacteurs (10/min)</t>
  </si>
  <si>
    <t>supraconducteur</t>
  </si>
  <si>
    <t>micro-réacteurs</t>
  </si>
  <si>
    <t>réactif Nova</t>
  </si>
  <si>
    <t>Génératrice à impulsion (24/min)</t>
  </si>
  <si>
    <t>génératrice à impulsion</t>
  </si>
  <si>
    <t>Réacteur à matrice (52/min)</t>
  </si>
  <si>
    <t>réacteur à matrice</t>
  </si>
  <si>
    <t>Pile à fusion (110/min)</t>
  </si>
  <si>
    <t>pile à fusion</t>
  </si>
  <si>
    <t>Réacteur gravifique (210/min)</t>
  </si>
  <si>
    <t>réacteur gravifique</t>
  </si>
  <si>
    <t>Grille énergétique (420/min)</t>
  </si>
  <si>
    <t>grille énergétique</t>
  </si>
  <si>
    <t>cristal énergétique</t>
  </si>
  <si>
    <t>Cellule Tesla (810/min)</t>
  </si>
  <si>
    <t>Cœur stellaire (1600/min)</t>
  </si>
  <si>
    <t>cœur stellaire</t>
  </si>
  <si>
    <t>cellule Tesla</t>
  </si>
  <si>
    <t>Trou noir artificiel (2900/min)</t>
  </si>
  <si>
    <t>neutronium</t>
  </si>
  <si>
    <t>J'en veux :</t>
  </si>
  <si>
    <t>excavatrice spatiale</t>
  </si>
  <si>
    <t>excavatrice à distorsions</t>
  </si>
  <si>
    <t>LES BOOST EXTRACTEURS ENERGETIQUES</t>
  </si>
  <si>
    <t>LES BOOST EXTRACTEURS EXTRACTION</t>
  </si>
  <si>
    <t>LES BOOST COLONIES INDUSTRIALISATION</t>
  </si>
  <si>
    <t>EN CONSTRUCTION</t>
  </si>
  <si>
    <t>En vert vos variables, une seule case orange doit être différente de 0 (J'en veux : …).</t>
  </si>
  <si>
    <t>LES BOOST COLONIES TERRAFORMATION</t>
  </si>
  <si>
    <t>EN CONSTRUCTION JERPED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</si>
</sst>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E6F1"/>
        <bgColor indexed="64"/>
      </patternFill>
    </fill>
    <fill>
      <patternFill patternType="solid">
        <fgColor rgb="FFF8A764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47">
    <xf numFmtId="0" fontId="0" fillId="0" borderId="0" xfId="0"/>
    <xf numFmtId="2" fontId="0" fillId="0" borderId="0" xfId="0" applyNumberFormat="1" applyFill="1"/>
    <xf numFmtId="0" fontId="0" fillId="0" borderId="0" xfId="0" applyFill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center" vertical="top"/>
    </xf>
    <xf numFmtId="3" fontId="0" fillId="4" borderId="1" xfId="0" applyNumberFormat="1" applyFill="1" applyBorder="1" applyAlignment="1">
      <alignment horizontal="center" vertical="top"/>
    </xf>
    <xf numFmtId="3" fontId="0" fillId="2" borderId="1" xfId="0" applyNumberFormat="1" applyFill="1" applyBorder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0" fillId="4" borderId="1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7" xfId="0" applyFill="1" applyBorder="1" applyAlignment="1">
      <alignment horizontal="right"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9" xfId="0" applyFill="1" applyBorder="1" applyAlignment="1">
      <alignment horizontal="right"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9" xfId="0" applyFill="1" applyBorder="1" applyAlignment="1">
      <alignment horizontal="right"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" xfId="0" applyBorder="1" applyAlignment="1">
      <alignment vertical="top"/>
    </xf>
    <xf numFmtId="0" fontId="4" fillId="0" borderId="0" xfId="0" applyFont="1" applyAlignment="1">
      <alignment vertical="top"/>
    </xf>
    <xf numFmtId="3" fontId="0" fillId="0" borderId="0" xfId="0" applyNumberFormat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left" vertical="top"/>
    </xf>
    <xf numFmtId="0" fontId="0" fillId="4" borderId="14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15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5" fillId="0" borderId="0" xfId="0" applyFont="1"/>
    <xf numFmtId="0" fontId="0" fillId="6" borderId="15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2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4" borderId="5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0" fontId="0" fillId="4" borderId="2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4" borderId="5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3" fontId="1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1" fontId="1" fillId="0" borderId="0" xfId="0" applyNumberFormat="1" applyFont="1" applyAlignment="1">
      <alignment horizontal="right" vertical="top"/>
    </xf>
    <xf numFmtId="1" fontId="0" fillId="0" borderId="0" xfId="0" applyNumberFormat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3" fontId="0" fillId="4" borderId="2" xfId="0" applyNumberFormat="1" applyFill="1" applyBorder="1" applyAlignment="1">
      <alignment horizontal="center" vertical="top"/>
    </xf>
    <xf numFmtId="1" fontId="0" fillId="0" borderId="4" xfId="0" applyNumberFormat="1" applyFill="1" applyBorder="1" applyAlignment="1">
      <alignment horizontal="center" vertical="top"/>
    </xf>
    <xf numFmtId="1" fontId="0" fillId="0" borderId="9" xfId="0" applyNumberFormat="1" applyFill="1" applyBorder="1" applyAlignment="1">
      <alignment horizontal="center" vertical="top"/>
    </xf>
    <xf numFmtId="1" fontId="0" fillId="0" borderId="9" xfId="0" applyNumberForma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4" xfId="0" applyFill="1" applyBorder="1" applyAlignment="1">
      <alignment vertical="top"/>
    </xf>
    <xf numFmtId="3" fontId="0" fillId="0" borderId="4" xfId="0" applyNumberFormat="1" applyFill="1" applyBorder="1" applyAlignment="1">
      <alignment horizontal="center" vertical="top"/>
    </xf>
    <xf numFmtId="3" fontId="0" fillId="0" borderId="9" xfId="0" applyNumberFormat="1" applyFill="1" applyBorder="1" applyAlignment="1">
      <alignment horizontal="center" vertical="top"/>
    </xf>
    <xf numFmtId="0" fontId="0" fillId="0" borderId="9" xfId="0" applyFill="1" applyBorder="1" applyAlignment="1">
      <alignment vertical="top"/>
    </xf>
    <xf numFmtId="3" fontId="0" fillId="0" borderId="4" xfId="0" applyNumberFormat="1" applyFill="1" applyBorder="1" applyAlignment="1">
      <alignment vertical="top"/>
    </xf>
    <xf numFmtId="0" fontId="0" fillId="6" borderId="10" xfId="0" applyFill="1" applyBorder="1" applyAlignment="1">
      <alignment horizontal="center" vertical="top"/>
    </xf>
    <xf numFmtId="0" fontId="0" fillId="6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3" fontId="0" fillId="2" borderId="3" xfId="0" applyNumberForma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0" borderId="3" xfId="0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3" fontId="0" fillId="0" borderId="4" xfId="0" applyNumberFormat="1" applyBorder="1" applyAlignment="1">
      <alignment horizontal="center" vertical="top"/>
    </xf>
    <xf numFmtId="3" fontId="0" fillId="0" borderId="3" xfId="0" applyNumberFormat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3" fontId="0" fillId="4" borderId="2" xfId="0" applyNumberFormat="1" applyFill="1" applyBorder="1" applyAlignment="1">
      <alignment horizontal="center" vertical="top"/>
    </xf>
    <xf numFmtId="3" fontId="0" fillId="4" borderId="3" xfId="0" applyNumberFormat="1" applyFill="1" applyBorder="1" applyAlignment="1">
      <alignment horizontal="center" vertical="top"/>
    </xf>
    <xf numFmtId="1" fontId="0" fillId="5" borderId="2" xfId="0" applyNumberFormat="1" applyFill="1" applyBorder="1" applyAlignment="1">
      <alignment horizontal="center" vertical="top"/>
    </xf>
    <xf numFmtId="1" fontId="0" fillId="5" borderId="3" xfId="0" applyNumberFormat="1" applyFill="1" applyBorder="1" applyAlignment="1">
      <alignment horizontal="center" vertical="top"/>
    </xf>
    <xf numFmtId="1" fontId="0" fillId="2" borderId="2" xfId="0" applyNumberFormat="1" applyFill="1" applyBorder="1" applyAlignment="1">
      <alignment horizontal="center" vertical="top"/>
    </xf>
    <xf numFmtId="1" fontId="0" fillId="2" borderId="3" xfId="0" applyNumberFormat="1" applyFill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" fontId="0" fillId="0" borderId="3" xfId="0" applyNumberFormat="1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2" borderId="2" xfId="0" applyNumberFormat="1" applyFill="1" applyBorder="1" applyAlignment="1">
      <alignment vertical="top"/>
    </xf>
    <xf numFmtId="0" fontId="0" fillId="0" borderId="3" xfId="0" applyNumberFormat="1" applyBorder="1" applyAlignment="1">
      <alignment vertical="top"/>
    </xf>
    <xf numFmtId="1" fontId="0" fillId="0" borderId="3" xfId="0" applyNumberFormat="1" applyBorder="1" applyAlignment="1">
      <alignment vertical="top"/>
    </xf>
    <xf numFmtId="0" fontId="0" fillId="0" borderId="6" xfId="0" applyBorder="1" applyAlignment="1">
      <alignment vertical="top"/>
    </xf>
    <xf numFmtId="3" fontId="0" fillId="0" borderId="3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3" borderId="4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8A764"/>
      <color rgb="FFE5E6F1"/>
      <color rgb="FFB0DD7F"/>
      <color rgb="FF83C937"/>
      <color rgb="FFFDEDDF"/>
      <color rgb="FFFEF6F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79"/>
  <sheetViews>
    <sheetView workbookViewId="0">
      <selection activeCell="G17" sqref="G17:G20"/>
    </sheetView>
  </sheetViews>
  <sheetFormatPr baseColWidth="10" defaultRowHeight="15"/>
  <cols>
    <col min="1" max="1" width="1.5703125" style="13" customWidth="1"/>
    <col min="2" max="2" width="27.7109375" style="13" customWidth="1"/>
    <col min="3" max="3" width="4.5703125" style="13" customWidth="1"/>
    <col min="4" max="4" width="4" style="14" bestFit="1" customWidth="1"/>
    <col min="5" max="5" width="23.5703125" style="13" customWidth="1"/>
    <col min="6" max="6" width="4" style="14" customWidth="1"/>
    <col min="7" max="7" width="25.5703125" style="55" customWidth="1"/>
    <col min="8" max="8" width="2.42578125" style="55" customWidth="1"/>
    <col min="9" max="9" width="13.85546875" style="13" customWidth="1"/>
    <col min="10" max="10" width="30.7109375" style="14" customWidth="1"/>
    <col min="11" max="11" width="25.42578125" style="13" customWidth="1"/>
    <col min="12" max="12" width="8.5703125" style="13" customWidth="1"/>
    <col min="13" max="16384" width="11.42578125" style="13"/>
  </cols>
  <sheetData>
    <row r="1" spans="2:10">
      <c r="B1" s="13" t="s">
        <v>30</v>
      </c>
      <c r="E1" s="29"/>
      <c r="G1" s="58" t="s">
        <v>44</v>
      </c>
      <c r="H1" s="58"/>
    </row>
    <row r="2" spans="2:10">
      <c r="E2" s="15"/>
    </row>
    <row r="3" spans="2:10">
      <c r="B3" s="54" t="s">
        <v>151</v>
      </c>
      <c r="C3" s="16"/>
      <c r="I3" s="17" t="s">
        <v>32</v>
      </c>
    </row>
    <row r="5" spans="2:10">
      <c r="B5" s="112" t="s">
        <v>29</v>
      </c>
      <c r="C5" s="112"/>
      <c r="D5" s="112"/>
      <c r="E5" s="113" t="s">
        <v>7</v>
      </c>
      <c r="F5" s="114"/>
      <c r="G5" s="115"/>
      <c r="H5" s="99"/>
      <c r="I5" s="47" t="s">
        <v>8</v>
      </c>
      <c r="J5" s="47"/>
    </row>
    <row r="6" spans="2:10">
      <c r="B6" s="116" t="s">
        <v>28</v>
      </c>
      <c r="C6" s="115"/>
      <c r="D6" s="18" t="s">
        <v>31</v>
      </c>
      <c r="E6" s="53" t="s">
        <v>28</v>
      </c>
      <c r="F6" s="18" t="s">
        <v>31</v>
      </c>
      <c r="G6" s="56" t="s">
        <v>84</v>
      </c>
      <c r="H6" s="100"/>
      <c r="I6" s="53" t="s">
        <v>28</v>
      </c>
      <c r="J6" s="18" t="s">
        <v>84</v>
      </c>
    </row>
    <row r="7" spans="2:10">
      <c r="B7" s="117" t="s">
        <v>45</v>
      </c>
      <c r="C7" s="118"/>
      <c r="D7" s="106">
        <v>1</v>
      </c>
      <c r="E7" s="119" t="s">
        <v>9</v>
      </c>
      <c r="F7" s="121">
        <v>1</v>
      </c>
      <c r="G7" s="123">
        <f>IF((C10+C13+C18+C24+C32+C42+C54+C67)&gt;0,G9*3700/D7,C8*3700/D7)</f>
        <v>0</v>
      </c>
      <c r="H7" s="100"/>
      <c r="I7" s="119" t="s">
        <v>10</v>
      </c>
      <c r="J7" s="131">
        <f>2*G7/F7</f>
        <v>0</v>
      </c>
    </row>
    <row r="8" spans="2:10">
      <c r="B8" s="32" t="s">
        <v>144</v>
      </c>
      <c r="C8" s="67">
        <v>0</v>
      </c>
      <c r="D8" s="107"/>
      <c r="E8" s="120"/>
      <c r="F8" s="122"/>
      <c r="G8" s="124"/>
      <c r="H8" s="100"/>
      <c r="I8" s="120"/>
      <c r="J8" s="132"/>
    </row>
    <row r="9" spans="2:10">
      <c r="B9" s="33" t="s">
        <v>46</v>
      </c>
      <c r="C9" s="60"/>
      <c r="D9" s="106">
        <v>1</v>
      </c>
      <c r="E9" s="51" t="s">
        <v>0</v>
      </c>
      <c r="F9" s="50"/>
      <c r="G9" s="65">
        <f>IF((C13+C18+C24+C32+C42+C54+C67)&gt;0,G12*4/D9,C10*4/D9)</f>
        <v>0</v>
      </c>
      <c r="H9" s="100"/>
      <c r="I9" s="48" t="s">
        <v>11</v>
      </c>
      <c r="J9" s="20">
        <f>2*G10/F10</f>
        <v>0</v>
      </c>
    </row>
    <row r="10" spans="2:10">
      <c r="B10" s="35" t="s">
        <v>144</v>
      </c>
      <c r="C10" s="67">
        <v>0</v>
      </c>
      <c r="D10" s="107"/>
      <c r="E10" s="108" t="s">
        <v>47</v>
      </c>
      <c r="F10" s="106">
        <v>1</v>
      </c>
      <c r="G10" s="110">
        <f>IF((C13+C18+C24+C32+C42+C54+C67)&gt;0,G12*15000/D9,C10*15000/D9)</f>
        <v>0</v>
      </c>
      <c r="H10" s="100"/>
      <c r="I10" s="49" t="s">
        <v>49</v>
      </c>
      <c r="J10" s="19">
        <f>2*G15/F15+2*G10/F10</f>
        <v>0</v>
      </c>
    </row>
    <row r="11" spans="2:10">
      <c r="B11" s="36"/>
      <c r="C11" s="62"/>
      <c r="D11" s="107"/>
      <c r="E11" s="109"/>
      <c r="F11" s="107"/>
      <c r="G11" s="111"/>
      <c r="H11" s="100"/>
      <c r="I11" s="49" t="s">
        <v>15</v>
      </c>
      <c r="J11" s="19">
        <f>2*G15/F15</f>
        <v>0</v>
      </c>
    </row>
    <row r="12" spans="2:10">
      <c r="B12" s="52" t="s">
        <v>48</v>
      </c>
      <c r="C12" s="59"/>
      <c r="D12" s="106">
        <v>1</v>
      </c>
      <c r="E12" s="125" t="s">
        <v>1</v>
      </c>
      <c r="F12" s="119"/>
      <c r="G12" s="123">
        <f>IF((C18+C24+C32+C42+C54+C67)&gt;0,G17*4/D12,C13*4/D12)</f>
        <v>0</v>
      </c>
      <c r="H12" s="100"/>
      <c r="I12" s="48" t="s">
        <v>18</v>
      </c>
      <c r="J12" s="20">
        <f>2*G21/F21</f>
        <v>0</v>
      </c>
    </row>
    <row r="13" spans="2:10">
      <c r="B13" s="42" t="s">
        <v>144</v>
      </c>
      <c r="C13" s="67">
        <v>0</v>
      </c>
      <c r="D13" s="107"/>
      <c r="E13" s="125"/>
      <c r="F13" s="126"/>
      <c r="G13" s="127"/>
      <c r="H13" s="100"/>
      <c r="I13" s="48" t="s">
        <v>16</v>
      </c>
      <c r="J13" s="20">
        <f>2*G21/F21</f>
        <v>0</v>
      </c>
    </row>
    <row r="14" spans="2:10">
      <c r="B14" s="43"/>
      <c r="C14" s="63"/>
      <c r="D14" s="107"/>
      <c r="E14" s="125"/>
      <c r="F14" s="120"/>
      <c r="G14" s="128"/>
      <c r="H14" s="100"/>
      <c r="I14" s="49" t="s">
        <v>13</v>
      </c>
      <c r="J14" s="19">
        <f>2*G29/F29</f>
        <v>0</v>
      </c>
    </row>
    <row r="15" spans="2:10">
      <c r="B15" s="43"/>
      <c r="C15" s="63"/>
      <c r="D15" s="107"/>
      <c r="E15" s="125" t="s">
        <v>37</v>
      </c>
      <c r="F15" s="106">
        <v>1</v>
      </c>
      <c r="G15" s="123">
        <f>IF((C18+C24+C32+C42+C54+C67)&gt;0,G17*59000/D12,C13*59000/D12)</f>
        <v>0</v>
      </c>
      <c r="H15" s="100"/>
      <c r="I15" s="49" t="s">
        <v>12</v>
      </c>
      <c r="J15" s="19">
        <f>2*G29/F29</f>
        <v>0</v>
      </c>
    </row>
    <row r="16" spans="2:10">
      <c r="B16" s="45"/>
      <c r="C16" s="64"/>
      <c r="D16" s="107"/>
      <c r="E16" s="125"/>
      <c r="F16" s="107"/>
      <c r="G16" s="124"/>
      <c r="H16" s="100"/>
      <c r="I16" s="48" t="s">
        <v>58</v>
      </c>
      <c r="J16" s="20">
        <f>2*G39/F39</f>
        <v>0</v>
      </c>
    </row>
    <row r="17" spans="2:10">
      <c r="B17" s="33" t="s">
        <v>50</v>
      </c>
      <c r="C17" s="60"/>
      <c r="D17" s="106">
        <v>1</v>
      </c>
      <c r="E17" s="129" t="s">
        <v>51</v>
      </c>
      <c r="F17" s="108"/>
      <c r="G17" s="110">
        <f>IF((C24+C32+C42+C54+C67)&gt;0,G23*4/D17,C18*4/D17)</f>
        <v>0</v>
      </c>
      <c r="H17" s="100"/>
      <c r="I17" s="49" t="s">
        <v>57</v>
      </c>
      <c r="J17" s="19">
        <f>2*G51/F51+2*G39/F39</f>
        <v>0</v>
      </c>
    </row>
    <row r="18" spans="2:10">
      <c r="B18" s="35" t="s">
        <v>144</v>
      </c>
      <c r="C18" s="67">
        <v>0</v>
      </c>
      <c r="D18" s="107"/>
      <c r="E18" s="129"/>
      <c r="F18" s="130"/>
      <c r="G18" s="127"/>
      <c r="H18" s="100"/>
      <c r="I18" s="48" t="s">
        <v>62</v>
      </c>
      <c r="J18" s="20">
        <f>2*G64/F64+2*G51/F51</f>
        <v>0</v>
      </c>
    </row>
    <row r="19" spans="2:10">
      <c r="B19" s="38"/>
      <c r="C19" s="61"/>
      <c r="D19" s="107"/>
      <c r="E19" s="129"/>
      <c r="F19" s="130"/>
      <c r="G19" s="127"/>
      <c r="H19" s="100"/>
      <c r="I19" s="48" t="s">
        <v>66</v>
      </c>
      <c r="J19" s="20">
        <f>2*G64/F64</f>
        <v>0</v>
      </c>
    </row>
    <row r="20" spans="2:10">
      <c r="B20" s="38"/>
      <c r="C20" s="61"/>
      <c r="D20" s="107"/>
      <c r="E20" s="129"/>
      <c r="F20" s="109"/>
      <c r="G20" s="128"/>
      <c r="H20" s="100"/>
      <c r="I20" s="49" t="s">
        <v>70</v>
      </c>
      <c r="J20" s="19">
        <f>2*G78/F78</f>
        <v>0</v>
      </c>
    </row>
    <row r="21" spans="2:10">
      <c r="B21" s="38"/>
      <c r="C21" s="61"/>
      <c r="D21" s="107"/>
      <c r="E21" s="129" t="s">
        <v>23</v>
      </c>
      <c r="F21" s="106">
        <v>1</v>
      </c>
      <c r="G21" s="110">
        <f>IF((C24+C32+C42+C54+C67)&gt;0,G23*240000/D17,C18*240000/D17)</f>
        <v>0</v>
      </c>
      <c r="H21" s="100"/>
      <c r="I21" s="49" t="s">
        <v>71</v>
      </c>
      <c r="J21" s="19">
        <f>2*G78/F78</f>
        <v>0</v>
      </c>
    </row>
    <row r="22" spans="2:10">
      <c r="B22" s="36"/>
      <c r="C22" s="62"/>
      <c r="D22" s="107"/>
      <c r="E22" s="129"/>
      <c r="F22" s="107"/>
      <c r="G22" s="111"/>
      <c r="H22" s="101"/>
      <c r="I22" s="90"/>
    </row>
    <row r="23" spans="2:10">
      <c r="B23" s="52" t="s">
        <v>52</v>
      </c>
      <c r="C23" s="59"/>
      <c r="D23" s="106">
        <v>1</v>
      </c>
      <c r="E23" s="125" t="s">
        <v>53</v>
      </c>
      <c r="F23" s="119"/>
      <c r="G23" s="123">
        <f>IF((C32+C42+C54+C67)&gt;0,G31*4/D23,C24*4/D23)</f>
        <v>0</v>
      </c>
      <c r="H23" s="101"/>
      <c r="I23" s="96"/>
    </row>
    <row r="24" spans="2:10">
      <c r="B24" s="42" t="s">
        <v>144</v>
      </c>
      <c r="C24" s="67">
        <v>0</v>
      </c>
      <c r="D24" s="107"/>
      <c r="E24" s="125"/>
      <c r="F24" s="126"/>
      <c r="G24" s="127"/>
      <c r="H24" s="101"/>
      <c r="I24" s="96"/>
    </row>
    <row r="25" spans="2:10">
      <c r="B25" s="43"/>
      <c r="C25" s="63"/>
      <c r="D25" s="107"/>
      <c r="E25" s="125"/>
      <c r="F25" s="126"/>
      <c r="G25" s="127"/>
      <c r="H25" s="101"/>
    </row>
    <row r="26" spans="2:10">
      <c r="B26" s="43"/>
      <c r="C26" s="63"/>
      <c r="D26" s="107"/>
      <c r="E26" s="125"/>
      <c r="F26" s="126"/>
      <c r="G26" s="127"/>
      <c r="H26" s="101"/>
    </row>
    <row r="27" spans="2:10">
      <c r="B27" s="43"/>
      <c r="C27" s="63"/>
      <c r="D27" s="107"/>
      <c r="E27" s="125"/>
      <c r="F27" s="126"/>
      <c r="G27" s="127"/>
      <c r="H27" s="101"/>
    </row>
    <row r="28" spans="2:10">
      <c r="B28" s="43"/>
      <c r="C28" s="63"/>
      <c r="D28" s="107"/>
      <c r="E28" s="125"/>
      <c r="F28" s="122"/>
      <c r="G28" s="128"/>
      <c r="H28" s="101"/>
    </row>
    <row r="29" spans="2:10">
      <c r="B29" s="43"/>
      <c r="C29" s="63"/>
      <c r="D29" s="107"/>
      <c r="E29" s="125" t="s">
        <v>25</v>
      </c>
      <c r="F29" s="106">
        <v>1</v>
      </c>
      <c r="G29" s="123">
        <f>IF((C32+C42+C54+C67)&gt;0,G31*940000/D23,C24*940000/D23)</f>
        <v>0</v>
      </c>
      <c r="H29" s="101"/>
    </row>
    <row r="30" spans="2:10">
      <c r="B30" s="45"/>
      <c r="C30" s="64"/>
      <c r="D30" s="107"/>
      <c r="E30" s="125"/>
      <c r="F30" s="107"/>
      <c r="G30" s="124"/>
      <c r="H30" s="101"/>
    </row>
    <row r="31" spans="2:10">
      <c r="B31" s="33" t="s">
        <v>54</v>
      </c>
      <c r="C31" s="60"/>
      <c r="D31" s="106">
        <v>1</v>
      </c>
      <c r="E31" s="108" t="s">
        <v>55</v>
      </c>
      <c r="F31" s="108"/>
      <c r="G31" s="110">
        <f>IF((C42+C54+C67)&gt;0,G41*4/D31,C32*4/D31)</f>
        <v>0</v>
      </c>
      <c r="H31" s="101"/>
    </row>
    <row r="32" spans="2:10">
      <c r="B32" s="35" t="s">
        <v>144</v>
      </c>
      <c r="C32" s="67">
        <v>0</v>
      </c>
      <c r="D32" s="107"/>
      <c r="E32" s="130"/>
      <c r="F32" s="130"/>
      <c r="G32" s="127"/>
      <c r="H32" s="101"/>
    </row>
    <row r="33" spans="2:11">
      <c r="B33" s="38"/>
      <c r="C33" s="61"/>
      <c r="D33" s="107"/>
      <c r="E33" s="130"/>
      <c r="F33" s="130"/>
      <c r="G33" s="127"/>
      <c r="H33" s="101"/>
    </row>
    <row r="34" spans="2:11">
      <c r="B34" s="38"/>
      <c r="C34" s="61"/>
      <c r="D34" s="107"/>
      <c r="E34" s="130"/>
      <c r="F34" s="130"/>
      <c r="G34" s="127"/>
      <c r="H34" s="101"/>
    </row>
    <row r="35" spans="2:11">
      <c r="B35" s="38"/>
      <c r="C35" s="61"/>
      <c r="D35" s="107"/>
      <c r="E35" s="130"/>
      <c r="F35" s="130"/>
      <c r="G35" s="127"/>
      <c r="H35" s="101"/>
    </row>
    <row r="36" spans="2:11">
      <c r="B36" s="38"/>
      <c r="C36" s="61"/>
      <c r="D36" s="107"/>
      <c r="E36" s="130"/>
      <c r="F36" s="130"/>
      <c r="G36" s="127"/>
      <c r="H36" s="101"/>
    </row>
    <row r="37" spans="2:11">
      <c r="B37" s="38"/>
      <c r="C37" s="61"/>
      <c r="D37" s="107"/>
      <c r="E37" s="130"/>
      <c r="F37" s="130"/>
      <c r="G37" s="127"/>
      <c r="H37" s="101"/>
    </row>
    <row r="38" spans="2:11">
      <c r="B38" s="38"/>
      <c r="C38" s="61"/>
      <c r="D38" s="107"/>
      <c r="E38" s="122"/>
      <c r="F38" s="122"/>
      <c r="G38" s="122"/>
      <c r="H38" s="102"/>
    </row>
    <row r="39" spans="2:11">
      <c r="B39" s="38"/>
      <c r="C39" s="61"/>
      <c r="D39" s="107"/>
      <c r="E39" s="129" t="s">
        <v>56</v>
      </c>
      <c r="F39" s="106">
        <v>1</v>
      </c>
      <c r="G39" s="110">
        <f>IF((C42+C54+C67)&gt;0,G41*1228172.75556476/D31,C32*1228172.75556476/D31)</f>
        <v>0</v>
      </c>
      <c r="H39" s="101"/>
      <c r="K39" s="22"/>
    </row>
    <row r="40" spans="2:11">
      <c r="B40" s="36"/>
      <c r="C40" s="62"/>
      <c r="D40" s="107"/>
      <c r="E40" s="129"/>
      <c r="F40" s="107"/>
      <c r="G40" s="111"/>
      <c r="H40" s="101"/>
      <c r="K40" s="22"/>
    </row>
    <row r="41" spans="2:11">
      <c r="B41" s="52" t="s">
        <v>60</v>
      </c>
      <c r="C41" s="59"/>
      <c r="D41" s="106">
        <v>1</v>
      </c>
      <c r="E41" s="125" t="s">
        <v>59</v>
      </c>
      <c r="F41" s="119"/>
      <c r="G41" s="123">
        <f>IF((C54+C67)&gt;0,G53*4/D41,C42*4/D41)</f>
        <v>0</v>
      </c>
      <c r="H41" s="101"/>
    </row>
    <row r="42" spans="2:11">
      <c r="B42" s="42" t="s">
        <v>144</v>
      </c>
      <c r="C42" s="67">
        <v>0</v>
      </c>
      <c r="D42" s="107"/>
      <c r="E42" s="125"/>
      <c r="F42" s="126"/>
      <c r="G42" s="127"/>
      <c r="H42" s="101"/>
    </row>
    <row r="43" spans="2:11">
      <c r="B43" s="43"/>
      <c r="C43" s="63"/>
      <c r="D43" s="107"/>
      <c r="E43" s="125"/>
      <c r="F43" s="126"/>
      <c r="G43" s="127"/>
      <c r="H43" s="101"/>
    </row>
    <row r="44" spans="2:11">
      <c r="B44" s="43"/>
      <c r="C44" s="63"/>
      <c r="D44" s="107"/>
      <c r="E44" s="125"/>
      <c r="F44" s="126"/>
      <c r="G44" s="127"/>
      <c r="H44" s="101"/>
    </row>
    <row r="45" spans="2:11">
      <c r="B45" s="43"/>
      <c r="C45" s="63"/>
      <c r="D45" s="107"/>
      <c r="E45" s="125"/>
      <c r="F45" s="126"/>
      <c r="G45" s="127"/>
      <c r="H45" s="101"/>
    </row>
    <row r="46" spans="2:11">
      <c r="B46" s="43"/>
      <c r="C46" s="63"/>
      <c r="D46" s="107"/>
      <c r="E46" s="125"/>
      <c r="F46" s="126"/>
      <c r="G46" s="127"/>
      <c r="H46" s="101"/>
    </row>
    <row r="47" spans="2:11">
      <c r="B47" s="43"/>
      <c r="C47" s="63"/>
      <c r="D47" s="107"/>
      <c r="E47" s="125"/>
      <c r="F47" s="126"/>
      <c r="G47" s="127"/>
      <c r="H47" s="101"/>
    </row>
    <row r="48" spans="2:11">
      <c r="B48" s="43"/>
      <c r="C48" s="63"/>
      <c r="D48" s="107"/>
      <c r="E48" s="125"/>
      <c r="F48" s="126"/>
      <c r="G48" s="127"/>
      <c r="H48" s="101"/>
    </row>
    <row r="49" spans="2:11">
      <c r="B49" s="43"/>
      <c r="C49" s="63"/>
      <c r="D49" s="107"/>
      <c r="E49" s="125"/>
      <c r="F49" s="126"/>
      <c r="G49" s="127"/>
      <c r="H49" s="101"/>
    </row>
    <row r="50" spans="2:11">
      <c r="B50" s="43"/>
      <c r="C50" s="63"/>
      <c r="D50" s="107"/>
      <c r="E50" s="125"/>
      <c r="F50" s="120"/>
      <c r="G50" s="128"/>
      <c r="H50" s="101"/>
    </row>
    <row r="51" spans="2:11">
      <c r="B51" s="43"/>
      <c r="C51" s="63"/>
      <c r="D51" s="107"/>
      <c r="E51" s="125" t="s">
        <v>61</v>
      </c>
      <c r="F51" s="106">
        <v>1</v>
      </c>
      <c r="G51" s="123">
        <f>IF((C54+C67)&gt;0,G53*3800000/D41,C42*3800000/D41)</f>
        <v>0</v>
      </c>
      <c r="H51" s="101"/>
      <c r="K51" s="22"/>
    </row>
    <row r="52" spans="2:11">
      <c r="B52" s="45"/>
      <c r="C52" s="64"/>
      <c r="D52" s="107"/>
      <c r="E52" s="125"/>
      <c r="F52" s="107"/>
      <c r="G52" s="124"/>
      <c r="H52" s="101"/>
      <c r="K52" s="22"/>
    </row>
    <row r="53" spans="2:11">
      <c r="B53" s="33" t="s">
        <v>64</v>
      </c>
      <c r="C53" s="60"/>
      <c r="D53" s="106">
        <v>1</v>
      </c>
      <c r="E53" s="129" t="s">
        <v>63</v>
      </c>
      <c r="F53" s="108"/>
      <c r="G53" s="110">
        <f>IF(C67&gt;0,C67*G66*4/D53,C54*4/D53)</f>
        <v>0</v>
      </c>
      <c r="H53" s="101"/>
    </row>
    <row r="54" spans="2:11">
      <c r="B54" s="35" t="s">
        <v>144</v>
      </c>
      <c r="C54" s="67">
        <v>0</v>
      </c>
      <c r="D54" s="107"/>
      <c r="E54" s="129"/>
      <c r="F54" s="130"/>
      <c r="G54" s="127"/>
      <c r="H54" s="101"/>
    </row>
    <row r="55" spans="2:11">
      <c r="B55" s="38"/>
      <c r="C55" s="61"/>
      <c r="D55" s="107"/>
      <c r="E55" s="129"/>
      <c r="F55" s="130"/>
      <c r="G55" s="127"/>
      <c r="H55" s="101"/>
    </row>
    <row r="56" spans="2:11">
      <c r="B56" s="38"/>
      <c r="C56" s="61"/>
      <c r="D56" s="107"/>
      <c r="E56" s="129"/>
      <c r="F56" s="130"/>
      <c r="G56" s="127"/>
      <c r="H56" s="101"/>
    </row>
    <row r="57" spans="2:11">
      <c r="B57" s="38"/>
      <c r="C57" s="61"/>
      <c r="D57" s="107"/>
      <c r="E57" s="129"/>
      <c r="F57" s="130"/>
      <c r="G57" s="127"/>
      <c r="H57" s="101"/>
    </row>
    <row r="58" spans="2:11">
      <c r="B58" s="38"/>
      <c r="C58" s="61"/>
      <c r="D58" s="107"/>
      <c r="E58" s="129"/>
      <c r="F58" s="130"/>
      <c r="G58" s="127"/>
      <c r="H58" s="101"/>
    </row>
    <row r="59" spans="2:11">
      <c r="B59" s="38"/>
      <c r="C59" s="61"/>
      <c r="D59" s="107"/>
      <c r="E59" s="129"/>
      <c r="F59" s="130"/>
      <c r="G59" s="127"/>
      <c r="H59" s="101"/>
    </row>
    <row r="60" spans="2:11">
      <c r="B60" s="38"/>
      <c r="C60" s="61"/>
      <c r="D60" s="107"/>
      <c r="E60" s="129"/>
      <c r="F60" s="130"/>
      <c r="G60" s="127"/>
      <c r="H60" s="101"/>
    </row>
    <row r="61" spans="2:11">
      <c r="B61" s="38"/>
      <c r="C61" s="61"/>
      <c r="D61" s="107"/>
      <c r="E61" s="129"/>
      <c r="F61" s="130"/>
      <c r="G61" s="127"/>
      <c r="H61" s="101"/>
    </row>
    <row r="62" spans="2:11">
      <c r="B62" s="38"/>
      <c r="C62" s="61"/>
      <c r="D62" s="107"/>
      <c r="E62" s="129"/>
      <c r="F62" s="130"/>
      <c r="G62" s="127"/>
      <c r="H62" s="101"/>
    </row>
    <row r="63" spans="2:11">
      <c r="B63" s="38"/>
      <c r="C63" s="61"/>
      <c r="D63" s="107"/>
      <c r="E63" s="129"/>
      <c r="F63" s="109"/>
      <c r="G63" s="128"/>
      <c r="H63" s="101"/>
    </row>
    <row r="64" spans="2:11">
      <c r="B64" s="38"/>
      <c r="C64" s="61"/>
      <c r="D64" s="107"/>
      <c r="E64" s="129" t="s">
        <v>65</v>
      </c>
      <c r="F64" s="106">
        <v>1</v>
      </c>
      <c r="G64" s="110">
        <f>IF(C67&gt;0,G66*60000000/D53,C54*60000000/D53)</f>
        <v>0</v>
      </c>
      <c r="H64" s="101"/>
      <c r="K64" s="22"/>
    </row>
    <row r="65" spans="2:11">
      <c r="B65" s="36"/>
      <c r="C65" s="62"/>
      <c r="D65" s="107"/>
      <c r="E65" s="129"/>
      <c r="F65" s="107"/>
      <c r="G65" s="111"/>
      <c r="H65" s="101"/>
      <c r="K65" s="22"/>
    </row>
    <row r="66" spans="2:11">
      <c r="B66" s="52" t="s">
        <v>68</v>
      </c>
      <c r="C66" s="59"/>
      <c r="D66" s="106">
        <v>1</v>
      </c>
      <c r="E66" s="125" t="s">
        <v>67</v>
      </c>
      <c r="F66" s="119"/>
      <c r="G66" s="123">
        <f>IF(C67&gt;0,C67*4/D66,0)</f>
        <v>0</v>
      </c>
      <c r="H66" s="101"/>
    </row>
    <row r="67" spans="2:11">
      <c r="B67" s="42" t="s">
        <v>144</v>
      </c>
      <c r="C67" s="67">
        <v>0</v>
      </c>
      <c r="D67" s="107"/>
      <c r="E67" s="125"/>
      <c r="F67" s="126"/>
      <c r="G67" s="127"/>
      <c r="H67" s="101"/>
    </row>
    <row r="68" spans="2:11">
      <c r="B68" s="43"/>
      <c r="C68" s="63"/>
      <c r="D68" s="107"/>
      <c r="E68" s="125"/>
      <c r="F68" s="126"/>
      <c r="G68" s="127"/>
      <c r="H68" s="101"/>
    </row>
    <row r="69" spans="2:11">
      <c r="B69" s="43"/>
      <c r="C69" s="63"/>
      <c r="D69" s="107"/>
      <c r="E69" s="125"/>
      <c r="F69" s="126"/>
      <c r="G69" s="127"/>
      <c r="H69" s="101"/>
    </row>
    <row r="70" spans="2:11">
      <c r="B70" s="43"/>
      <c r="C70" s="63"/>
      <c r="D70" s="107"/>
      <c r="E70" s="125"/>
      <c r="F70" s="126"/>
      <c r="G70" s="127"/>
      <c r="H70" s="101"/>
    </row>
    <row r="71" spans="2:11">
      <c r="B71" s="43"/>
      <c r="C71" s="63"/>
      <c r="D71" s="107"/>
      <c r="E71" s="125"/>
      <c r="F71" s="126"/>
      <c r="G71" s="127"/>
      <c r="H71" s="101"/>
    </row>
    <row r="72" spans="2:11">
      <c r="B72" s="43"/>
      <c r="C72" s="63"/>
      <c r="D72" s="107"/>
      <c r="E72" s="125"/>
      <c r="F72" s="126"/>
      <c r="G72" s="127"/>
      <c r="H72" s="101"/>
    </row>
    <row r="73" spans="2:11">
      <c r="B73" s="43"/>
      <c r="C73" s="63"/>
      <c r="D73" s="107"/>
      <c r="E73" s="125"/>
      <c r="F73" s="126"/>
      <c r="G73" s="127"/>
      <c r="H73" s="101"/>
    </row>
    <row r="74" spans="2:11">
      <c r="B74" s="43"/>
      <c r="C74" s="63"/>
      <c r="D74" s="107"/>
      <c r="E74" s="125"/>
      <c r="F74" s="126"/>
      <c r="G74" s="127"/>
      <c r="H74" s="101"/>
    </row>
    <row r="75" spans="2:11">
      <c r="B75" s="43"/>
      <c r="C75" s="63"/>
      <c r="D75" s="107"/>
      <c r="E75" s="125"/>
      <c r="F75" s="126"/>
      <c r="G75" s="127"/>
      <c r="H75" s="101"/>
    </row>
    <row r="76" spans="2:11">
      <c r="B76" s="43"/>
      <c r="C76" s="63"/>
      <c r="D76" s="107"/>
      <c r="E76" s="125"/>
      <c r="F76" s="126"/>
      <c r="G76" s="127"/>
      <c r="H76" s="101"/>
    </row>
    <row r="77" spans="2:11">
      <c r="B77" s="43"/>
      <c r="C77" s="63"/>
      <c r="D77" s="107"/>
      <c r="E77" s="125"/>
      <c r="F77" s="120"/>
      <c r="G77" s="128"/>
      <c r="H77" s="101"/>
    </row>
    <row r="78" spans="2:11">
      <c r="B78" s="43"/>
      <c r="C78" s="63"/>
      <c r="D78" s="107"/>
      <c r="E78" s="125" t="s">
        <v>69</v>
      </c>
      <c r="F78" s="106">
        <v>1</v>
      </c>
      <c r="G78" s="123">
        <f>IF(C67&gt;0,C67*240000000/D66,0)</f>
        <v>0</v>
      </c>
      <c r="H78" s="101"/>
    </row>
    <row r="79" spans="2:11">
      <c r="B79" s="45"/>
      <c r="C79" s="64"/>
      <c r="D79" s="107"/>
      <c r="E79" s="125"/>
      <c r="F79" s="107"/>
      <c r="G79" s="124"/>
      <c r="H79" s="101"/>
    </row>
  </sheetData>
  <mergeCells count="63">
    <mergeCell ref="I7:I8"/>
    <mergeCell ref="J7:J8"/>
    <mergeCell ref="G31:G38"/>
    <mergeCell ref="E31:E38"/>
    <mergeCell ref="F31:F38"/>
    <mergeCell ref="D66:D79"/>
    <mergeCell ref="E66:E77"/>
    <mergeCell ref="F66:F77"/>
    <mergeCell ref="G66:G77"/>
    <mergeCell ref="E78:E79"/>
    <mergeCell ref="F78:F79"/>
    <mergeCell ref="G78:G79"/>
    <mergeCell ref="D53:D65"/>
    <mergeCell ref="E53:E63"/>
    <mergeCell ref="F53:F63"/>
    <mergeCell ref="G53:G63"/>
    <mergeCell ref="E64:E65"/>
    <mergeCell ref="F64:F65"/>
    <mergeCell ref="G64:G65"/>
    <mergeCell ref="D41:D52"/>
    <mergeCell ref="E41:E50"/>
    <mergeCell ref="F41:F50"/>
    <mergeCell ref="G41:G50"/>
    <mergeCell ref="E51:E52"/>
    <mergeCell ref="F51:F52"/>
    <mergeCell ref="G51:G52"/>
    <mergeCell ref="D31:D40"/>
    <mergeCell ref="E39:E40"/>
    <mergeCell ref="F39:F40"/>
    <mergeCell ref="G39:G40"/>
    <mergeCell ref="D23:D30"/>
    <mergeCell ref="E23:E28"/>
    <mergeCell ref="F23:F28"/>
    <mergeCell ref="G23:G28"/>
    <mergeCell ref="E29:E30"/>
    <mergeCell ref="F29:F30"/>
    <mergeCell ref="G29:G30"/>
    <mergeCell ref="D17:D22"/>
    <mergeCell ref="E17:E20"/>
    <mergeCell ref="F17:F20"/>
    <mergeCell ref="G17:G20"/>
    <mergeCell ref="E21:E22"/>
    <mergeCell ref="F21:F22"/>
    <mergeCell ref="G21:G22"/>
    <mergeCell ref="D12:D16"/>
    <mergeCell ref="E12:E14"/>
    <mergeCell ref="F12:F14"/>
    <mergeCell ref="G12:G14"/>
    <mergeCell ref="E15:E16"/>
    <mergeCell ref="F15:F16"/>
    <mergeCell ref="G15:G16"/>
    <mergeCell ref="D9:D11"/>
    <mergeCell ref="E10:E11"/>
    <mergeCell ref="F10:F11"/>
    <mergeCell ref="G10:G11"/>
    <mergeCell ref="B5:D5"/>
    <mergeCell ref="E5:G5"/>
    <mergeCell ref="B6:C6"/>
    <mergeCell ref="B7:C7"/>
    <mergeCell ref="D7:D8"/>
    <mergeCell ref="E7:E8"/>
    <mergeCell ref="F7:F8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K78"/>
  <sheetViews>
    <sheetView zoomScaleNormal="100" workbookViewId="0">
      <selection activeCell="G18" sqref="G18:G22"/>
    </sheetView>
  </sheetViews>
  <sheetFormatPr baseColWidth="10" defaultRowHeight="15"/>
  <cols>
    <col min="1" max="1" width="1.140625" style="13" customWidth="1"/>
    <col min="2" max="2" width="31.5703125" style="13" customWidth="1"/>
    <col min="3" max="3" width="4.140625" style="13" customWidth="1"/>
    <col min="4" max="4" width="4" style="14" bestFit="1" customWidth="1"/>
    <col min="5" max="5" width="26" style="13" customWidth="1"/>
    <col min="6" max="6" width="4" style="14" customWidth="1"/>
    <col min="7" max="7" width="23" style="88" customWidth="1"/>
    <col min="8" max="8" width="2" style="88" customWidth="1"/>
    <col min="9" max="9" width="13.5703125" style="13" customWidth="1"/>
    <col min="10" max="10" width="27.5703125" style="14" customWidth="1"/>
    <col min="11" max="11" width="25.42578125" style="13" customWidth="1"/>
    <col min="12" max="12" width="8.5703125" style="13" customWidth="1"/>
    <col min="13" max="16384" width="11.42578125" style="13"/>
  </cols>
  <sheetData>
    <row r="1" spans="2:10">
      <c r="B1" s="13" t="s">
        <v>30</v>
      </c>
      <c r="E1" s="29"/>
      <c r="G1" s="87" t="s">
        <v>148</v>
      </c>
      <c r="H1" s="87"/>
    </row>
    <row r="2" spans="2:10">
      <c r="E2" s="15"/>
    </row>
    <row r="3" spans="2:10">
      <c r="B3" s="54" t="s">
        <v>151</v>
      </c>
      <c r="C3" s="16"/>
      <c r="I3" s="17" t="s">
        <v>32</v>
      </c>
    </row>
    <row r="5" spans="2:10">
      <c r="B5" s="113" t="s">
        <v>29</v>
      </c>
      <c r="C5" s="114"/>
      <c r="D5" s="139"/>
      <c r="E5" s="113" t="s">
        <v>7</v>
      </c>
      <c r="F5" s="139"/>
      <c r="G5" s="89"/>
      <c r="H5" s="93"/>
      <c r="I5" s="24" t="s">
        <v>8</v>
      </c>
      <c r="J5" s="24"/>
    </row>
    <row r="6" spans="2:10">
      <c r="B6" s="116" t="s">
        <v>28</v>
      </c>
      <c r="C6" s="115"/>
      <c r="D6" s="18" t="s">
        <v>31</v>
      </c>
      <c r="E6" s="27" t="s">
        <v>28</v>
      </c>
      <c r="F6" s="18" t="s">
        <v>31</v>
      </c>
      <c r="G6" s="89" t="s">
        <v>84</v>
      </c>
      <c r="H6" s="93"/>
      <c r="I6" s="27" t="s">
        <v>28</v>
      </c>
      <c r="J6" s="18" t="s">
        <v>84</v>
      </c>
    </row>
    <row r="7" spans="2:10">
      <c r="B7" s="117" t="s">
        <v>34</v>
      </c>
      <c r="C7" s="143"/>
      <c r="D7" s="121">
        <v>2</v>
      </c>
      <c r="E7" s="119" t="s">
        <v>19</v>
      </c>
      <c r="F7" s="121">
        <v>1</v>
      </c>
      <c r="G7" s="133">
        <f>IF((C11+C14+C19+C26+C34+C44+C55+C67)&gt;0,G9*2400/D7,C8*2400/D7)</f>
        <v>307200</v>
      </c>
      <c r="H7" s="93"/>
      <c r="I7" s="31" t="s">
        <v>10</v>
      </c>
      <c r="J7" s="19">
        <f>2/F7*G7</f>
        <v>614400</v>
      </c>
    </row>
    <row r="8" spans="2:10">
      <c r="B8" s="32" t="s">
        <v>144</v>
      </c>
      <c r="C8" s="67">
        <v>0</v>
      </c>
      <c r="D8" s="122"/>
      <c r="E8" s="122"/>
      <c r="F8" s="122"/>
      <c r="G8" s="134"/>
      <c r="H8" s="93"/>
      <c r="I8" s="30" t="s">
        <v>14</v>
      </c>
      <c r="J8" s="19">
        <f>2/F7*G7</f>
        <v>614400</v>
      </c>
    </row>
    <row r="9" spans="2:10">
      <c r="B9" s="33" t="s">
        <v>35</v>
      </c>
      <c r="C9" s="34"/>
      <c r="D9" s="106">
        <v>2</v>
      </c>
      <c r="E9" s="140" t="s">
        <v>43</v>
      </c>
      <c r="F9" s="108"/>
      <c r="G9" s="135">
        <f>IF((C14+C19+C26+C34+C44+C55+C67)&gt;0,G13*4/D9,C11*4/D9)</f>
        <v>256</v>
      </c>
      <c r="H9" s="94"/>
      <c r="I9" s="23" t="s">
        <v>11</v>
      </c>
      <c r="J9" s="20">
        <f>2/F11*G11</f>
        <v>627200</v>
      </c>
    </row>
    <row r="10" spans="2:10">
      <c r="B10" s="38"/>
      <c r="C10" s="39"/>
      <c r="D10" s="106"/>
      <c r="E10" s="141"/>
      <c r="F10" s="122"/>
      <c r="G10" s="142"/>
      <c r="H10" s="95"/>
      <c r="I10" s="25" t="s">
        <v>49</v>
      </c>
      <c r="J10" s="19">
        <f>2/F16*G16</f>
        <v>2496000</v>
      </c>
    </row>
    <row r="11" spans="2:10">
      <c r="B11" s="35" t="s">
        <v>144</v>
      </c>
      <c r="C11" s="67">
        <v>0</v>
      </c>
      <c r="D11" s="107"/>
      <c r="E11" s="108" t="s">
        <v>20</v>
      </c>
      <c r="F11" s="106">
        <v>1</v>
      </c>
      <c r="G11" s="135">
        <f>IF((C14+C19+C26+C34+C44+C55+C67)&gt;0,G13*4900/D9,C11*4900/D9)</f>
        <v>313600</v>
      </c>
      <c r="H11" s="94"/>
      <c r="I11" s="23" t="s">
        <v>15</v>
      </c>
      <c r="J11" s="20">
        <f>2/F23*G23+2/F16*G16</f>
        <v>7616000</v>
      </c>
    </row>
    <row r="12" spans="2:10">
      <c r="B12" s="36"/>
      <c r="C12" s="37"/>
      <c r="D12" s="107"/>
      <c r="E12" s="109"/>
      <c r="F12" s="107"/>
      <c r="G12" s="136"/>
      <c r="H12" s="93"/>
      <c r="I12" s="25" t="s">
        <v>17</v>
      </c>
      <c r="J12" s="19">
        <f>2/F31*G31</f>
        <v>10080000</v>
      </c>
    </row>
    <row r="13" spans="2:10">
      <c r="B13" s="40" t="s">
        <v>36</v>
      </c>
      <c r="C13" s="41"/>
      <c r="D13" s="106">
        <v>2</v>
      </c>
      <c r="E13" s="125" t="s">
        <v>38</v>
      </c>
      <c r="F13" s="119"/>
      <c r="G13" s="133">
        <f>IF((C19+C26+C34+C44+C55+C67)&gt;0,G18*4/D13,C14*4/D13)</f>
        <v>128</v>
      </c>
      <c r="H13" s="94"/>
      <c r="I13" s="25" t="s">
        <v>12</v>
      </c>
      <c r="J13" s="19">
        <f>2/F31*G31</f>
        <v>10080000</v>
      </c>
    </row>
    <row r="14" spans="2:10">
      <c r="B14" s="42" t="s">
        <v>144</v>
      </c>
      <c r="C14" s="67">
        <v>0</v>
      </c>
      <c r="D14" s="107"/>
      <c r="E14" s="125"/>
      <c r="F14" s="126"/>
      <c r="G14" s="137"/>
      <c r="H14" s="94"/>
      <c r="I14" s="23" t="s">
        <v>13</v>
      </c>
      <c r="J14" s="20">
        <f>2/F41*G41+2/F23*G23</f>
        <v>25120000</v>
      </c>
    </row>
    <row r="15" spans="2:10">
      <c r="B15" s="43"/>
      <c r="C15" s="44"/>
      <c r="D15" s="107"/>
      <c r="E15" s="125"/>
      <c r="F15" s="120"/>
      <c r="G15" s="138"/>
      <c r="H15" s="94"/>
      <c r="I15" s="25" t="s">
        <v>27</v>
      </c>
      <c r="J15" s="19">
        <f>2/F52*G52+2/F41*G41</f>
        <v>60000000</v>
      </c>
    </row>
    <row r="16" spans="2:10">
      <c r="B16" s="43"/>
      <c r="C16" s="44"/>
      <c r="D16" s="107"/>
      <c r="E16" s="125" t="s">
        <v>37</v>
      </c>
      <c r="F16" s="106">
        <v>1</v>
      </c>
      <c r="G16" s="133">
        <f>IF((C19+C26+C34+C44+C55+C67)&gt;0,G18*39000/D13,C14*39000/D13)</f>
        <v>1248000</v>
      </c>
      <c r="H16" s="93"/>
      <c r="I16" s="23" t="s">
        <v>79</v>
      </c>
      <c r="J16" s="20">
        <f>2/F64*G64+2/F52*G52</f>
        <v>120000000</v>
      </c>
    </row>
    <row r="17" spans="2:10">
      <c r="B17" s="45"/>
      <c r="C17" s="46"/>
      <c r="D17" s="107"/>
      <c r="E17" s="125"/>
      <c r="F17" s="107"/>
      <c r="G17" s="134"/>
      <c r="H17" s="93"/>
      <c r="I17" s="23" t="s">
        <v>58</v>
      </c>
      <c r="J17" s="20">
        <f>2/F64*G64</f>
        <v>80000000</v>
      </c>
    </row>
    <row r="18" spans="2:10">
      <c r="B18" s="33" t="s">
        <v>73</v>
      </c>
      <c r="C18" s="34"/>
      <c r="D18" s="106">
        <v>2</v>
      </c>
      <c r="E18" s="129" t="s">
        <v>40</v>
      </c>
      <c r="F18" s="108"/>
      <c r="G18" s="135">
        <f>IF((C26+C34+C44+C55+C67)&gt;0,G25*4/D18,C19*4/D18)</f>
        <v>64</v>
      </c>
      <c r="H18" s="94"/>
      <c r="I18" s="25" t="s">
        <v>70</v>
      </c>
      <c r="J18" s="19">
        <f>2/F77*G77</f>
        <v>160000000</v>
      </c>
    </row>
    <row r="19" spans="2:10">
      <c r="B19" s="35" t="s">
        <v>144</v>
      </c>
      <c r="C19" s="67">
        <v>0</v>
      </c>
      <c r="D19" s="107"/>
      <c r="E19" s="129"/>
      <c r="F19" s="130"/>
      <c r="G19" s="137"/>
      <c r="H19" s="94"/>
      <c r="I19" s="25" t="s">
        <v>71</v>
      </c>
      <c r="J19" s="19">
        <f>2/F77*G77</f>
        <v>160000000</v>
      </c>
    </row>
    <row r="20" spans="2:10">
      <c r="B20" s="38"/>
      <c r="C20" s="39"/>
      <c r="D20" s="107"/>
      <c r="E20" s="129"/>
      <c r="F20" s="130"/>
      <c r="G20" s="137"/>
      <c r="H20" s="94"/>
      <c r="I20" s="90"/>
      <c r="J20" s="98"/>
    </row>
    <row r="21" spans="2:10">
      <c r="B21" s="38"/>
      <c r="C21" s="39"/>
      <c r="D21" s="107"/>
      <c r="E21" s="129"/>
      <c r="F21" s="130"/>
      <c r="G21" s="137"/>
      <c r="H21" s="94"/>
      <c r="I21" s="96"/>
      <c r="J21" s="97"/>
    </row>
    <row r="22" spans="2:10">
      <c r="B22" s="38"/>
      <c r="C22" s="39"/>
      <c r="D22" s="107"/>
      <c r="E22" s="129"/>
      <c r="F22" s="109"/>
      <c r="G22" s="138"/>
      <c r="H22" s="94"/>
      <c r="I22" s="96"/>
      <c r="J22" s="97"/>
    </row>
    <row r="23" spans="2:10">
      <c r="B23" s="38"/>
      <c r="C23" s="39"/>
      <c r="D23" s="107"/>
      <c r="E23" s="129" t="s">
        <v>39</v>
      </c>
      <c r="F23" s="106">
        <v>1</v>
      </c>
      <c r="G23" s="135">
        <f>IF((C26+C34+C44+C55+C67)&gt;0,G25*160000/D18,C19*160000/D18)</f>
        <v>2560000</v>
      </c>
      <c r="H23" s="94"/>
      <c r="I23" s="96"/>
      <c r="J23" s="97"/>
    </row>
    <row r="24" spans="2:10">
      <c r="B24" s="36"/>
      <c r="C24" s="37"/>
      <c r="D24" s="107"/>
      <c r="E24" s="129"/>
      <c r="F24" s="107"/>
      <c r="G24" s="136"/>
      <c r="H24" s="94"/>
      <c r="I24" s="96"/>
      <c r="J24" s="97"/>
    </row>
    <row r="25" spans="2:10">
      <c r="B25" s="40" t="s">
        <v>41</v>
      </c>
      <c r="C25" s="41"/>
      <c r="D25" s="106">
        <v>2</v>
      </c>
      <c r="E25" s="125" t="s">
        <v>72</v>
      </c>
      <c r="F25" s="119"/>
      <c r="G25" s="133">
        <f>IF((C34+C44+C55+C67)&gt;0,G33*4/D25,C26*4/D25)</f>
        <v>32</v>
      </c>
      <c r="H25" s="94"/>
      <c r="I25" s="96"/>
      <c r="J25" s="97"/>
    </row>
    <row r="26" spans="2:10">
      <c r="B26" s="42" t="s">
        <v>144</v>
      </c>
      <c r="C26" s="67">
        <v>0</v>
      </c>
      <c r="D26" s="107"/>
      <c r="E26" s="125"/>
      <c r="F26" s="126"/>
      <c r="G26" s="137"/>
      <c r="H26" s="94"/>
      <c r="I26" s="96"/>
      <c r="J26" s="97"/>
    </row>
    <row r="27" spans="2:10">
      <c r="B27" s="43"/>
      <c r="C27" s="44"/>
      <c r="D27" s="107"/>
      <c r="E27" s="125"/>
      <c r="F27" s="126"/>
      <c r="G27" s="137"/>
      <c r="H27" s="94"/>
      <c r="I27" s="96"/>
      <c r="J27" s="97"/>
    </row>
    <row r="28" spans="2:10">
      <c r="B28" s="43"/>
      <c r="C28" s="44"/>
      <c r="D28" s="107"/>
      <c r="E28" s="125"/>
      <c r="F28" s="126"/>
      <c r="G28" s="137"/>
      <c r="H28" s="94"/>
      <c r="I28" s="96"/>
      <c r="J28" s="97"/>
    </row>
    <row r="29" spans="2:10">
      <c r="B29" s="43"/>
      <c r="C29" s="44"/>
      <c r="D29" s="107"/>
      <c r="E29" s="125"/>
      <c r="F29" s="126"/>
      <c r="G29" s="137"/>
      <c r="H29" s="94"/>
      <c r="I29" s="96"/>
      <c r="J29" s="97"/>
    </row>
    <row r="30" spans="2:10">
      <c r="B30" s="43"/>
      <c r="C30" s="44"/>
      <c r="D30" s="107"/>
      <c r="E30" s="125"/>
      <c r="F30" s="122"/>
      <c r="G30" s="138"/>
      <c r="H30" s="94"/>
      <c r="I30" s="96"/>
      <c r="J30" s="97"/>
    </row>
    <row r="31" spans="2:10">
      <c r="B31" s="43"/>
      <c r="C31" s="44"/>
      <c r="D31" s="107"/>
      <c r="E31" s="125" t="s">
        <v>42</v>
      </c>
      <c r="F31" s="106">
        <v>1</v>
      </c>
      <c r="G31" s="133">
        <f>IF((C34+C44+C55+C67)&gt;0,G33*630000/D25,C26*630000/D25)</f>
        <v>5040000</v>
      </c>
      <c r="H31" s="94"/>
      <c r="I31" s="96"/>
      <c r="J31" s="97"/>
    </row>
    <row r="32" spans="2:10">
      <c r="B32" s="45"/>
      <c r="C32" s="46"/>
      <c r="D32" s="107"/>
      <c r="E32" s="125"/>
      <c r="F32" s="107"/>
      <c r="G32" s="134"/>
      <c r="H32" s="94"/>
      <c r="I32" s="96"/>
      <c r="J32" s="97"/>
    </row>
    <row r="33" spans="2:11">
      <c r="B33" s="33" t="s">
        <v>74</v>
      </c>
      <c r="C33" s="34"/>
      <c r="D33" s="106">
        <v>2</v>
      </c>
      <c r="E33" s="129" t="s">
        <v>75</v>
      </c>
      <c r="F33" s="108"/>
      <c r="G33" s="135">
        <f>IF((C44+C55+C67)&gt;0,G43*4/D33,C34*4/D33)</f>
        <v>16</v>
      </c>
      <c r="H33" s="94"/>
      <c r="I33" s="96"/>
      <c r="J33" s="97"/>
      <c r="K33" s="21"/>
    </row>
    <row r="34" spans="2:11">
      <c r="B34" s="35" t="s">
        <v>144</v>
      </c>
      <c r="C34" s="67">
        <v>0</v>
      </c>
      <c r="D34" s="107"/>
      <c r="E34" s="129"/>
      <c r="F34" s="130"/>
      <c r="G34" s="137"/>
      <c r="H34" s="94"/>
      <c r="I34" s="96"/>
      <c r="J34" s="97"/>
      <c r="K34" s="21"/>
    </row>
    <row r="35" spans="2:11">
      <c r="B35" s="38"/>
      <c r="C35" s="39"/>
      <c r="D35" s="107"/>
      <c r="E35" s="129"/>
      <c r="F35" s="130"/>
      <c r="G35" s="137"/>
      <c r="H35" s="94"/>
      <c r="I35" s="96"/>
      <c r="J35" s="97"/>
      <c r="K35" s="21"/>
    </row>
    <row r="36" spans="2:11">
      <c r="B36" s="38"/>
      <c r="C36" s="39"/>
      <c r="D36" s="107"/>
      <c r="E36" s="129"/>
      <c r="F36" s="130"/>
      <c r="G36" s="137"/>
      <c r="H36" s="94"/>
      <c r="I36" s="96"/>
      <c r="J36" s="97"/>
      <c r="K36" s="21"/>
    </row>
    <row r="37" spans="2:11">
      <c r="B37" s="38"/>
      <c r="C37" s="39"/>
      <c r="D37" s="107"/>
      <c r="E37" s="129"/>
      <c r="F37" s="130"/>
      <c r="G37" s="137"/>
      <c r="H37" s="94"/>
      <c r="I37" s="96"/>
      <c r="J37" s="97"/>
      <c r="K37" s="22"/>
    </row>
    <row r="38" spans="2:11">
      <c r="B38" s="38"/>
      <c r="C38" s="39"/>
      <c r="D38" s="107"/>
      <c r="E38" s="129"/>
      <c r="F38" s="130"/>
      <c r="G38" s="137"/>
      <c r="H38" s="94"/>
      <c r="I38" s="96"/>
      <c r="J38" s="97"/>
      <c r="K38" s="22"/>
    </row>
    <row r="39" spans="2:11">
      <c r="B39" s="38"/>
      <c r="C39" s="39"/>
      <c r="D39" s="107"/>
      <c r="E39" s="129"/>
      <c r="F39" s="130"/>
      <c r="G39" s="137"/>
      <c r="H39" s="94"/>
      <c r="I39" s="96"/>
      <c r="J39" s="97"/>
      <c r="K39" s="22"/>
    </row>
    <row r="40" spans="2:11">
      <c r="B40" s="38"/>
      <c r="C40" s="39"/>
      <c r="D40" s="107"/>
      <c r="E40" s="129"/>
      <c r="F40" s="109"/>
      <c r="G40" s="138"/>
      <c r="H40" s="94"/>
      <c r="I40" s="96"/>
      <c r="J40" s="97"/>
      <c r="K40" s="22"/>
    </row>
    <row r="41" spans="2:11">
      <c r="B41" s="38"/>
      <c r="C41" s="39"/>
      <c r="D41" s="107"/>
      <c r="E41" s="129" t="s">
        <v>76</v>
      </c>
      <c r="F41" s="106">
        <v>1</v>
      </c>
      <c r="G41" s="135">
        <f>IF((C44+C55+C67)&gt;0,G43*2500000/D33,C34*2500000/D33)</f>
        <v>10000000</v>
      </c>
      <c r="H41" s="94"/>
      <c r="I41" s="96"/>
      <c r="J41" s="97"/>
      <c r="K41" s="22"/>
    </row>
    <row r="42" spans="2:11">
      <c r="B42" s="36"/>
      <c r="C42" s="37"/>
      <c r="D42" s="107"/>
      <c r="E42" s="129"/>
      <c r="F42" s="107"/>
      <c r="G42" s="136"/>
      <c r="H42" s="94"/>
      <c r="I42" s="96"/>
      <c r="J42" s="97"/>
      <c r="K42" s="22"/>
    </row>
    <row r="43" spans="2:11">
      <c r="B43" s="40" t="s">
        <v>77</v>
      </c>
      <c r="C43" s="41"/>
      <c r="D43" s="106">
        <v>2</v>
      </c>
      <c r="E43" s="125" t="s">
        <v>145</v>
      </c>
      <c r="F43" s="119"/>
      <c r="G43" s="133">
        <f>IF((C55+C67)&gt;0,G54*4/D43,C44*4/D43)</f>
        <v>8</v>
      </c>
      <c r="H43" s="94"/>
      <c r="I43" s="96"/>
      <c r="J43" s="97"/>
      <c r="K43" s="22"/>
    </row>
    <row r="44" spans="2:11">
      <c r="B44" s="42" t="s">
        <v>144</v>
      </c>
      <c r="C44" s="67">
        <v>0</v>
      </c>
      <c r="D44" s="107"/>
      <c r="E44" s="125"/>
      <c r="F44" s="126"/>
      <c r="G44" s="137"/>
      <c r="H44" s="94"/>
      <c r="I44" s="96"/>
      <c r="J44" s="97"/>
      <c r="K44" s="22"/>
    </row>
    <row r="45" spans="2:11">
      <c r="B45" s="43"/>
      <c r="C45" s="44"/>
      <c r="D45" s="107"/>
      <c r="E45" s="125"/>
      <c r="F45" s="126"/>
      <c r="G45" s="137"/>
      <c r="H45" s="94"/>
      <c r="I45" s="96"/>
      <c r="J45" s="97"/>
      <c r="K45" s="22"/>
    </row>
    <row r="46" spans="2:11">
      <c r="B46" s="43"/>
      <c r="C46" s="44"/>
      <c r="D46" s="107"/>
      <c r="E46" s="125"/>
      <c r="F46" s="126"/>
      <c r="G46" s="137"/>
      <c r="H46" s="94"/>
      <c r="I46" s="96"/>
      <c r="J46" s="97"/>
      <c r="K46" s="22"/>
    </row>
    <row r="47" spans="2:11">
      <c r="B47" s="43"/>
      <c r="C47" s="44"/>
      <c r="D47" s="107"/>
      <c r="E47" s="125"/>
      <c r="F47" s="126"/>
      <c r="G47" s="137"/>
      <c r="H47" s="94"/>
      <c r="I47" s="96"/>
      <c r="J47" s="97"/>
      <c r="K47" s="22"/>
    </row>
    <row r="48" spans="2:11">
      <c r="B48" s="43"/>
      <c r="C48" s="44"/>
      <c r="D48" s="107"/>
      <c r="E48" s="125"/>
      <c r="F48" s="126"/>
      <c r="G48" s="137"/>
      <c r="H48" s="94"/>
      <c r="I48" s="96"/>
      <c r="J48" s="97"/>
      <c r="K48" s="22"/>
    </row>
    <row r="49" spans="2:11">
      <c r="B49" s="43"/>
      <c r="C49" s="44"/>
      <c r="D49" s="107"/>
      <c r="E49" s="125"/>
      <c r="F49" s="126"/>
      <c r="G49" s="137"/>
      <c r="H49" s="94"/>
      <c r="I49" s="96"/>
      <c r="J49" s="97"/>
      <c r="K49" s="22"/>
    </row>
    <row r="50" spans="2:11">
      <c r="B50" s="43"/>
      <c r="C50" s="44"/>
      <c r="D50" s="107"/>
      <c r="E50" s="125"/>
      <c r="F50" s="126"/>
      <c r="G50" s="137"/>
      <c r="H50" s="94"/>
      <c r="I50" s="96"/>
      <c r="J50" s="97"/>
      <c r="K50" s="22"/>
    </row>
    <row r="51" spans="2:11">
      <c r="B51" s="43"/>
      <c r="C51" s="44"/>
      <c r="D51" s="107"/>
      <c r="E51" s="125"/>
      <c r="F51" s="120"/>
      <c r="G51" s="138"/>
      <c r="H51" s="94"/>
      <c r="I51" s="96"/>
      <c r="J51" s="97"/>
      <c r="K51" s="22"/>
    </row>
    <row r="52" spans="2:11">
      <c r="B52" s="43"/>
      <c r="C52" s="44"/>
      <c r="D52" s="107"/>
      <c r="E52" s="125" t="s">
        <v>78</v>
      </c>
      <c r="F52" s="106">
        <v>1</v>
      </c>
      <c r="G52" s="133">
        <f>IF((C55+C67)&gt;0,G54*10000000/D43,C44*10000000/D43)</f>
        <v>20000000</v>
      </c>
      <c r="H52" s="94"/>
      <c r="I52" s="96"/>
      <c r="J52" s="97"/>
      <c r="K52" s="22"/>
    </row>
    <row r="53" spans="2:11">
      <c r="B53" s="45"/>
      <c r="C53" s="46"/>
      <c r="D53" s="107"/>
      <c r="E53" s="125"/>
      <c r="F53" s="107"/>
      <c r="G53" s="134"/>
      <c r="H53" s="94"/>
      <c r="I53" s="96"/>
      <c r="J53" s="97"/>
      <c r="K53" s="22"/>
    </row>
    <row r="54" spans="2:11">
      <c r="B54" s="33" t="s">
        <v>80</v>
      </c>
      <c r="C54" s="34"/>
      <c r="D54" s="106">
        <v>2</v>
      </c>
      <c r="E54" s="129" t="s">
        <v>81</v>
      </c>
      <c r="F54" s="108"/>
      <c r="G54" s="135">
        <f>IF(C67&gt;0,G66*4/D54,C55*4/D54)</f>
        <v>4</v>
      </c>
      <c r="H54" s="94"/>
      <c r="I54" s="96"/>
      <c r="J54" s="97"/>
      <c r="K54" s="22"/>
    </row>
    <row r="55" spans="2:11">
      <c r="B55" s="35" t="s">
        <v>144</v>
      </c>
      <c r="C55" s="67">
        <v>0</v>
      </c>
      <c r="D55" s="107"/>
      <c r="E55" s="129"/>
      <c r="F55" s="130"/>
      <c r="G55" s="137"/>
      <c r="H55" s="94"/>
      <c r="I55" s="96"/>
      <c r="J55" s="97"/>
      <c r="K55" s="22"/>
    </row>
    <row r="56" spans="2:11">
      <c r="B56" s="38"/>
      <c r="C56" s="39"/>
      <c r="D56" s="107"/>
      <c r="E56" s="129"/>
      <c r="F56" s="130"/>
      <c r="G56" s="137"/>
      <c r="H56" s="94"/>
      <c r="I56" s="96"/>
      <c r="J56" s="97"/>
      <c r="K56" s="22"/>
    </row>
    <row r="57" spans="2:11">
      <c r="B57" s="38"/>
      <c r="C57" s="39"/>
      <c r="D57" s="107"/>
      <c r="E57" s="129"/>
      <c r="F57" s="130"/>
      <c r="G57" s="137"/>
      <c r="H57" s="94"/>
      <c r="I57" s="96"/>
      <c r="J57" s="97"/>
      <c r="K57" s="22"/>
    </row>
    <row r="58" spans="2:11">
      <c r="B58" s="38"/>
      <c r="C58" s="39"/>
      <c r="D58" s="107"/>
      <c r="E58" s="129"/>
      <c r="F58" s="130"/>
      <c r="G58" s="137"/>
      <c r="H58" s="94"/>
      <c r="I58" s="96"/>
      <c r="J58" s="97"/>
      <c r="K58" s="22"/>
    </row>
    <row r="59" spans="2:11">
      <c r="B59" s="38"/>
      <c r="C59" s="39"/>
      <c r="D59" s="107"/>
      <c r="E59" s="129"/>
      <c r="F59" s="130"/>
      <c r="G59" s="137"/>
      <c r="H59" s="94"/>
      <c r="I59" s="96"/>
      <c r="J59" s="97"/>
      <c r="K59" s="22"/>
    </row>
    <row r="60" spans="2:11">
      <c r="B60" s="38"/>
      <c r="C60" s="39"/>
      <c r="D60" s="107"/>
      <c r="E60" s="129"/>
      <c r="F60" s="130"/>
      <c r="G60" s="137"/>
      <c r="H60" s="94"/>
      <c r="I60" s="96"/>
      <c r="J60" s="97"/>
      <c r="K60" s="22"/>
    </row>
    <row r="61" spans="2:11">
      <c r="B61" s="38"/>
      <c r="C61" s="39"/>
      <c r="D61" s="107"/>
      <c r="E61" s="129"/>
      <c r="F61" s="130"/>
      <c r="G61" s="137"/>
      <c r="H61" s="94"/>
      <c r="I61" s="96"/>
      <c r="J61" s="97"/>
      <c r="K61" s="22"/>
    </row>
    <row r="62" spans="2:11">
      <c r="B62" s="38"/>
      <c r="C62" s="39"/>
      <c r="D62" s="107"/>
      <c r="E62" s="129"/>
      <c r="F62" s="130"/>
      <c r="G62" s="137"/>
      <c r="H62" s="94"/>
      <c r="I62" s="96"/>
      <c r="J62" s="97"/>
      <c r="K62" s="22"/>
    </row>
    <row r="63" spans="2:11">
      <c r="B63" s="38"/>
      <c r="C63" s="39"/>
      <c r="D63" s="107"/>
      <c r="E63" s="129"/>
      <c r="F63" s="109"/>
      <c r="G63" s="138"/>
      <c r="H63" s="94"/>
      <c r="I63" s="96"/>
      <c r="J63" s="97"/>
      <c r="K63" s="22"/>
    </row>
    <row r="64" spans="2:11">
      <c r="B64" s="38"/>
      <c r="C64" s="39"/>
      <c r="D64" s="107"/>
      <c r="E64" s="129" t="s">
        <v>82</v>
      </c>
      <c r="F64" s="106">
        <v>1</v>
      </c>
      <c r="G64" s="135">
        <f>IF(C67&gt;0,G66*40000000/D54,C55*40000000/D54)</f>
        <v>40000000</v>
      </c>
      <c r="H64" s="94"/>
      <c r="I64" s="96"/>
      <c r="J64" s="97"/>
      <c r="K64" s="22"/>
    </row>
    <row r="65" spans="2:11">
      <c r="B65" s="36"/>
      <c r="C65" s="37"/>
      <c r="D65" s="107"/>
      <c r="E65" s="129"/>
      <c r="F65" s="107"/>
      <c r="G65" s="136"/>
      <c r="H65" s="94"/>
      <c r="I65" s="96"/>
      <c r="J65" s="97"/>
      <c r="K65" s="22"/>
    </row>
    <row r="66" spans="2:11">
      <c r="B66" s="40" t="s">
        <v>83</v>
      </c>
      <c r="C66" s="41"/>
      <c r="D66" s="106">
        <v>2</v>
      </c>
      <c r="E66" s="125" t="s">
        <v>146</v>
      </c>
      <c r="F66" s="119"/>
      <c r="G66" s="133">
        <f>IF(C67&gt;0,C67*4/D66,0)</f>
        <v>2</v>
      </c>
      <c r="H66" s="94"/>
      <c r="I66" s="96"/>
      <c r="J66" s="97"/>
      <c r="K66" s="22"/>
    </row>
    <row r="67" spans="2:11">
      <c r="B67" s="42" t="s">
        <v>144</v>
      </c>
      <c r="C67" s="67">
        <v>1</v>
      </c>
      <c r="D67" s="107"/>
      <c r="E67" s="125"/>
      <c r="F67" s="126"/>
      <c r="G67" s="137"/>
      <c r="H67" s="94"/>
      <c r="I67" s="96"/>
      <c r="J67" s="97"/>
      <c r="K67" s="22"/>
    </row>
    <row r="68" spans="2:11">
      <c r="B68" s="43"/>
      <c r="C68" s="44"/>
      <c r="D68" s="107"/>
      <c r="E68" s="125"/>
      <c r="F68" s="126"/>
      <c r="G68" s="137"/>
      <c r="H68" s="94"/>
      <c r="I68" s="96"/>
      <c r="J68" s="97"/>
      <c r="K68" s="22"/>
    </row>
    <row r="69" spans="2:11">
      <c r="B69" s="43"/>
      <c r="C69" s="44"/>
      <c r="D69" s="107"/>
      <c r="E69" s="125"/>
      <c r="F69" s="126"/>
      <c r="G69" s="137"/>
      <c r="H69" s="94"/>
      <c r="I69" s="96"/>
      <c r="J69" s="97"/>
      <c r="K69" s="22"/>
    </row>
    <row r="70" spans="2:11">
      <c r="B70" s="43"/>
      <c r="C70" s="44"/>
      <c r="D70" s="107"/>
      <c r="E70" s="125"/>
      <c r="F70" s="126"/>
      <c r="G70" s="137"/>
      <c r="H70" s="94"/>
      <c r="I70" s="96"/>
      <c r="J70" s="97"/>
    </row>
    <row r="71" spans="2:11">
      <c r="B71" s="43"/>
      <c r="C71" s="44"/>
      <c r="D71" s="107"/>
      <c r="E71" s="125"/>
      <c r="F71" s="126"/>
      <c r="G71" s="137"/>
      <c r="H71" s="94"/>
      <c r="I71" s="96"/>
      <c r="J71" s="97"/>
    </row>
    <row r="72" spans="2:11">
      <c r="B72" s="43"/>
      <c r="C72" s="44"/>
      <c r="D72" s="107"/>
      <c r="E72" s="125"/>
      <c r="F72" s="126"/>
      <c r="G72" s="137"/>
      <c r="H72" s="94"/>
      <c r="I72" s="96"/>
      <c r="J72" s="97"/>
    </row>
    <row r="73" spans="2:11">
      <c r="B73" s="43"/>
      <c r="C73" s="44"/>
      <c r="D73" s="107"/>
      <c r="E73" s="125"/>
      <c r="F73" s="126"/>
      <c r="G73" s="137"/>
      <c r="H73" s="94"/>
      <c r="I73" s="96"/>
      <c r="J73" s="97"/>
    </row>
    <row r="74" spans="2:11">
      <c r="B74" s="43"/>
      <c r="C74" s="44"/>
      <c r="D74" s="107"/>
      <c r="E74" s="125"/>
      <c r="F74" s="126"/>
      <c r="G74" s="137"/>
      <c r="H74" s="94"/>
      <c r="I74" s="96"/>
      <c r="J74" s="97"/>
    </row>
    <row r="75" spans="2:11">
      <c r="B75" s="43"/>
      <c r="C75" s="44"/>
      <c r="D75" s="107"/>
      <c r="E75" s="125"/>
      <c r="F75" s="126"/>
      <c r="G75" s="137"/>
      <c r="H75" s="94"/>
    </row>
    <row r="76" spans="2:11">
      <c r="B76" s="43"/>
      <c r="C76" s="44"/>
      <c r="D76" s="107"/>
      <c r="E76" s="125"/>
      <c r="F76" s="120"/>
      <c r="G76" s="138"/>
      <c r="H76" s="94"/>
    </row>
    <row r="77" spans="2:11">
      <c r="B77" s="43"/>
      <c r="C77" s="44"/>
      <c r="D77" s="107"/>
      <c r="E77" s="125" t="s">
        <v>69</v>
      </c>
      <c r="F77" s="106">
        <v>1</v>
      </c>
      <c r="G77" s="133">
        <f>IF(C67&gt;0,C67*160000000/D66,0)</f>
        <v>80000000</v>
      </c>
      <c r="H77" s="94"/>
    </row>
    <row r="78" spans="2:11">
      <c r="B78" s="45"/>
      <c r="C78" s="46"/>
      <c r="D78" s="107"/>
      <c r="E78" s="125"/>
      <c r="F78" s="107"/>
      <c r="G78" s="134"/>
      <c r="H78" s="94"/>
    </row>
  </sheetData>
  <mergeCells count="64">
    <mergeCell ref="G9:G10"/>
    <mergeCell ref="F9:F10"/>
    <mergeCell ref="B7:C7"/>
    <mergeCell ref="D7:D8"/>
    <mergeCell ref="F7:F8"/>
    <mergeCell ref="E7:E8"/>
    <mergeCell ref="G7:G8"/>
    <mergeCell ref="E18:E22"/>
    <mergeCell ref="D66:D78"/>
    <mergeCell ref="E66:E76"/>
    <mergeCell ref="D18:D24"/>
    <mergeCell ref="F18:F22"/>
    <mergeCell ref="F66:F76"/>
    <mergeCell ref="F54:F63"/>
    <mergeCell ref="F43:F51"/>
    <mergeCell ref="E77:E78"/>
    <mergeCell ref="F77:F78"/>
    <mergeCell ref="F64:F65"/>
    <mergeCell ref="D25:D32"/>
    <mergeCell ref="F31:F32"/>
    <mergeCell ref="E31:E32"/>
    <mergeCell ref="D54:D65"/>
    <mergeCell ref="D33:D42"/>
    <mergeCell ref="B5:D5"/>
    <mergeCell ref="E5:F5"/>
    <mergeCell ref="E13:E15"/>
    <mergeCell ref="E16:E17"/>
    <mergeCell ref="F11:F12"/>
    <mergeCell ref="D9:D12"/>
    <mergeCell ref="D13:D17"/>
    <mergeCell ref="F16:F17"/>
    <mergeCell ref="E11:E12"/>
    <mergeCell ref="F13:F15"/>
    <mergeCell ref="B6:C6"/>
    <mergeCell ref="E9:E10"/>
    <mergeCell ref="D43:D53"/>
    <mergeCell ref="F25:F30"/>
    <mergeCell ref="E25:E30"/>
    <mergeCell ref="E54:E63"/>
    <mergeCell ref="E43:E51"/>
    <mergeCell ref="F33:F40"/>
    <mergeCell ref="F41:F42"/>
    <mergeCell ref="F52:F53"/>
    <mergeCell ref="E64:E65"/>
    <mergeCell ref="E23:E24"/>
    <mergeCell ref="E33:E40"/>
    <mergeCell ref="E41:E42"/>
    <mergeCell ref="E52:E53"/>
    <mergeCell ref="F23:F24"/>
    <mergeCell ref="G23:G24"/>
    <mergeCell ref="G16:G17"/>
    <mergeCell ref="G11:G12"/>
    <mergeCell ref="G64:G65"/>
    <mergeCell ref="G77:G78"/>
    <mergeCell ref="G52:G53"/>
    <mergeCell ref="G41:G42"/>
    <mergeCell ref="G31:G32"/>
    <mergeCell ref="G13:G15"/>
    <mergeCell ref="G18:G22"/>
    <mergeCell ref="G66:G76"/>
    <mergeCell ref="G54:G63"/>
    <mergeCell ref="G43:G51"/>
    <mergeCell ref="G33:G40"/>
    <mergeCell ref="G25:G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81"/>
  <sheetViews>
    <sheetView workbookViewId="0">
      <selection activeCell="I13" sqref="I13"/>
    </sheetView>
  </sheetViews>
  <sheetFormatPr baseColWidth="10" defaultRowHeight="15"/>
  <cols>
    <col min="1" max="1" width="1.28515625" style="13" customWidth="1"/>
    <col min="2" max="2" width="25.5703125" style="13" customWidth="1"/>
    <col min="3" max="3" width="4.28515625" style="13" customWidth="1"/>
    <col min="4" max="4" width="4" style="14" bestFit="1" customWidth="1"/>
    <col min="5" max="5" width="23.5703125" style="13" customWidth="1"/>
    <col min="6" max="6" width="4" style="14" customWidth="1"/>
    <col min="7" max="7" width="28.5703125" style="55" customWidth="1"/>
    <col min="8" max="8" width="1.28515625" style="55" customWidth="1"/>
    <col min="9" max="9" width="13.85546875" style="13" customWidth="1"/>
    <col min="10" max="10" width="32.140625" style="14" customWidth="1"/>
    <col min="11" max="11" width="25.42578125" style="13" customWidth="1"/>
    <col min="12" max="12" width="8.5703125" style="13" customWidth="1"/>
    <col min="13" max="16384" width="11.42578125" style="13"/>
  </cols>
  <sheetData>
    <row r="1" spans="2:10">
      <c r="B1" s="13" t="s">
        <v>30</v>
      </c>
      <c r="E1" s="29"/>
      <c r="G1" s="57" t="s">
        <v>147</v>
      </c>
      <c r="H1" s="57"/>
    </row>
    <row r="2" spans="2:10">
      <c r="E2" s="15"/>
    </row>
    <row r="3" spans="2:10">
      <c r="B3" s="54" t="s">
        <v>151</v>
      </c>
      <c r="C3" s="16"/>
      <c r="I3" s="17" t="s">
        <v>32</v>
      </c>
    </row>
    <row r="5" spans="2:10">
      <c r="B5" s="112" t="s">
        <v>29</v>
      </c>
      <c r="C5" s="112"/>
      <c r="D5" s="112"/>
      <c r="E5" s="113" t="s">
        <v>7</v>
      </c>
      <c r="F5" s="114"/>
      <c r="G5" s="115"/>
      <c r="H5" s="99"/>
      <c r="I5" s="47" t="s">
        <v>8</v>
      </c>
      <c r="J5" s="47"/>
    </row>
    <row r="6" spans="2:10">
      <c r="B6" s="116" t="s">
        <v>28</v>
      </c>
      <c r="C6" s="115"/>
      <c r="D6" s="18" t="s">
        <v>31</v>
      </c>
      <c r="E6" s="53" t="s">
        <v>28</v>
      </c>
      <c r="F6" s="18" t="s">
        <v>31</v>
      </c>
      <c r="G6" s="56" t="s">
        <v>84</v>
      </c>
      <c r="H6" s="100"/>
      <c r="I6" s="53" t="s">
        <v>28</v>
      </c>
      <c r="J6" s="18" t="s">
        <v>84</v>
      </c>
    </row>
    <row r="7" spans="2:10">
      <c r="B7" s="117" t="s">
        <v>123</v>
      </c>
      <c r="C7" s="143"/>
      <c r="D7" s="121">
        <v>1</v>
      </c>
      <c r="E7" s="119" t="s">
        <v>124</v>
      </c>
      <c r="F7" s="121">
        <v>1</v>
      </c>
      <c r="G7" s="123">
        <f>IF((C11+C14+C20+C27+C36+C46+C58+C70)&gt;0,G9*2400/D7,C8*2400/D7)</f>
        <v>0</v>
      </c>
      <c r="H7" s="100"/>
      <c r="I7" s="49" t="s">
        <v>10</v>
      </c>
      <c r="J7" s="19">
        <f>2*G7/F7</f>
        <v>0</v>
      </c>
    </row>
    <row r="8" spans="2:10">
      <c r="B8" s="32" t="s">
        <v>144</v>
      </c>
      <c r="C8" s="105">
        <v>0</v>
      </c>
      <c r="D8" s="122"/>
      <c r="E8" s="120"/>
      <c r="F8" s="122"/>
      <c r="G8" s="124"/>
      <c r="H8" s="100"/>
      <c r="I8" s="49" t="s">
        <v>11</v>
      </c>
      <c r="J8" s="19">
        <f>2*G7/F7</f>
        <v>0</v>
      </c>
    </row>
    <row r="9" spans="2:10">
      <c r="B9" s="33" t="s">
        <v>127</v>
      </c>
      <c r="C9" s="39"/>
      <c r="D9" s="106">
        <v>1</v>
      </c>
      <c r="E9" s="140" t="s">
        <v>125</v>
      </c>
      <c r="F9" s="108"/>
      <c r="G9" s="110">
        <f>IF((C14+C20+C27+C36+C46+C58+C70)&gt;0,G13*4/D9,C11*4/D9)</f>
        <v>0</v>
      </c>
      <c r="H9" s="100"/>
      <c r="I9" s="48" t="s">
        <v>14</v>
      </c>
      <c r="J9" s="20">
        <f>2*G11/F11</f>
        <v>0</v>
      </c>
    </row>
    <row r="10" spans="2:10">
      <c r="B10" s="38"/>
      <c r="C10" s="39"/>
      <c r="D10" s="106"/>
      <c r="E10" s="141"/>
      <c r="F10" s="122"/>
      <c r="G10" s="144"/>
      <c r="H10" s="103"/>
      <c r="I10" s="49" t="s">
        <v>16</v>
      </c>
      <c r="J10" s="19">
        <f>2*G17/F17+2*G11/F11</f>
        <v>0</v>
      </c>
    </row>
    <row r="11" spans="2:10">
      <c r="B11" s="35" t="s">
        <v>144</v>
      </c>
      <c r="C11" s="104">
        <v>0</v>
      </c>
      <c r="D11" s="107"/>
      <c r="E11" s="108" t="s">
        <v>126</v>
      </c>
      <c r="F11" s="106">
        <v>1</v>
      </c>
      <c r="G11" s="110">
        <f>IF((C14+C20+C27+C36+C46+C58+C70)&gt;0,G13*9800/D9,C11*9800/D9)</f>
        <v>0</v>
      </c>
      <c r="H11" s="100"/>
      <c r="I11" s="49" t="s">
        <v>15</v>
      </c>
      <c r="J11" s="19">
        <f>2*G17/F17</f>
        <v>0</v>
      </c>
    </row>
    <row r="12" spans="2:10">
      <c r="B12" s="36"/>
      <c r="C12" s="37"/>
      <c r="D12" s="107"/>
      <c r="E12" s="109"/>
      <c r="F12" s="107"/>
      <c r="G12" s="111"/>
      <c r="H12" s="100"/>
      <c r="I12" s="48" t="s">
        <v>18</v>
      </c>
      <c r="J12" s="20">
        <f>2*G24/F24</f>
        <v>0</v>
      </c>
    </row>
    <row r="13" spans="2:10">
      <c r="B13" s="52" t="s">
        <v>129</v>
      </c>
      <c r="C13" s="41"/>
      <c r="D13" s="106">
        <v>1</v>
      </c>
      <c r="E13" s="125" t="s">
        <v>128</v>
      </c>
      <c r="F13" s="119"/>
      <c r="G13" s="123">
        <f>IF((C20+C27+C36+C46+C58+C70)&gt;0,G19*4/D13,C14*4/D13)</f>
        <v>0</v>
      </c>
      <c r="H13" s="100"/>
      <c r="I13" s="49" t="s">
        <v>17</v>
      </c>
      <c r="J13" s="19">
        <f>2*G33/F33+2*G24/F24</f>
        <v>0</v>
      </c>
    </row>
    <row r="14" spans="2:10">
      <c r="B14" s="42" t="s">
        <v>144</v>
      </c>
      <c r="C14" s="104">
        <v>0</v>
      </c>
      <c r="D14" s="107"/>
      <c r="E14" s="125"/>
      <c r="F14" s="126"/>
      <c r="G14" s="127"/>
      <c r="H14" s="100"/>
      <c r="I14" s="49" t="s">
        <v>27</v>
      </c>
      <c r="J14" s="19">
        <f>2*G33/F33</f>
        <v>0</v>
      </c>
    </row>
    <row r="15" spans="2:10">
      <c r="B15" s="42"/>
      <c r="C15" s="44"/>
      <c r="D15" s="107"/>
      <c r="E15" s="125"/>
      <c r="F15" s="126"/>
      <c r="G15" s="127"/>
      <c r="H15" s="100"/>
      <c r="I15" s="48" t="s">
        <v>12</v>
      </c>
      <c r="J15" s="20">
        <f>2*G43/F43</f>
        <v>0</v>
      </c>
    </row>
    <row r="16" spans="2:10">
      <c r="B16" s="43"/>
      <c r="C16" s="44"/>
      <c r="D16" s="107"/>
      <c r="E16" s="125"/>
      <c r="F16" s="120"/>
      <c r="G16" s="128"/>
      <c r="H16" s="100"/>
      <c r="I16" s="48" t="s">
        <v>57</v>
      </c>
      <c r="J16" s="20">
        <f>2*G43/F43</f>
        <v>0</v>
      </c>
    </row>
    <row r="17" spans="2:10">
      <c r="B17" s="43"/>
      <c r="C17" s="44"/>
      <c r="D17" s="107"/>
      <c r="E17" s="125" t="s">
        <v>26</v>
      </c>
      <c r="F17" s="106">
        <v>1</v>
      </c>
      <c r="G17" s="123">
        <f>IF((C20+C27+C36+C46+C58+C70)&gt;0,G19*39000/D13,C14*39000/D13)</f>
        <v>0</v>
      </c>
      <c r="H17" s="100"/>
      <c r="I17" s="49" t="s">
        <v>58</v>
      </c>
      <c r="J17" s="19">
        <f>2*G55/F55</f>
        <v>0</v>
      </c>
    </row>
    <row r="18" spans="2:10">
      <c r="B18" s="45"/>
      <c r="C18" s="46"/>
      <c r="D18" s="107"/>
      <c r="E18" s="125"/>
      <c r="F18" s="107"/>
      <c r="G18" s="124"/>
      <c r="H18" s="100"/>
      <c r="I18" s="49" t="s">
        <v>62</v>
      </c>
      <c r="J18" s="19">
        <f>2*G55/F55</f>
        <v>0</v>
      </c>
    </row>
    <row r="19" spans="2:10">
      <c r="B19" s="33" t="s">
        <v>131</v>
      </c>
      <c r="C19" s="34"/>
      <c r="D19" s="106">
        <v>1</v>
      </c>
      <c r="E19" s="129" t="s">
        <v>130</v>
      </c>
      <c r="F19" s="108"/>
      <c r="G19" s="110">
        <f>IF((C27+C36+C46+C58+C70)&gt;0,G26*4/D19,C20*4/D19)</f>
        <v>0</v>
      </c>
      <c r="H19" s="100"/>
      <c r="I19" s="48" t="s">
        <v>79</v>
      </c>
      <c r="J19" s="20">
        <f>2*G67/F67</f>
        <v>0</v>
      </c>
    </row>
    <row r="20" spans="2:10">
      <c r="B20" s="35" t="s">
        <v>144</v>
      </c>
      <c r="C20" s="104">
        <v>0</v>
      </c>
      <c r="D20" s="107"/>
      <c r="E20" s="129"/>
      <c r="F20" s="130"/>
      <c r="G20" s="127"/>
      <c r="H20" s="100"/>
      <c r="I20" s="48" t="s">
        <v>66</v>
      </c>
      <c r="J20" s="20">
        <f>2*G67/F67</f>
        <v>0</v>
      </c>
    </row>
    <row r="21" spans="2:10">
      <c r="B21" s="38"/>
      <c r="C21" s="39"/>
      <c r="D21" s="107"/>
      <c r="E21" s="129"/>
      <c r="F21" s="130"/>
      <c r="G21" s="127"/>
      <c r="H21" s="100"/>
      <c r="I21" s="49" t="s">
        <v>94</v>
      </c>
      <c r="J21" s="19">
        <f>2*G80/F80</f>
        <v>0</v>
      </c>
    </row>
    <row r="22" spans="2:10">
      <c r="B22" s="38"/>
      <c r="C22" s="39"/>
      <c r="D22" s="107"/>
      <c r="E22" s="129"/>
      <c r="F22" s="130"/>
      <c r="G22" s="127"/>
      <c r="H22" s="100"/>
      <c r="I22" s="49" t="s">
        <v>71</v>
      </c>
      <c r="J22" s="19">
        <f>2*G80/F80</f>
        <v>0</v>
      </c>
    </row>
    <row r="23" spans="2:10">
      <c r="B23" s="38"/>
      <c r="C23" s="39"/>
      <c r="D23" s="107"/>
      <c r="E23" s="129"/>
      <c r="F23" s="109"/>
      <c r="G23" s="128"/>
      <c r="H23" s="101"/>
      <c r="I23" s="90"/>
    </row>
    <row r="24" spans="2:10">
      <c r="B24" s="38"/>
      <c r="C24" s="39"/>
      <c r="D24" s="107"/>
      <c r="E24" s="129" t="s">
        <v>107</v>
      </c>
      <c r="F24" s="106">
        <v>1</v>
      </c>
      <c r="G24" s="110">
        <f>IF((C27+C36+C46+C58+C70)&gt;0,G26*160000/D19,C20*160000/D19)</f>
        <v>0</v>
      </c>
      <c r="H24" s="101"/>
      <c r="I24" s="96"/>
    </row>
    <row r="25" spans="2:10">
      <c r="B25" s="36"/>
      <c r="C25" s="37"/>
      <c r="D25" s="107"/>
      <c r="E25" s="129"/>
      <c r="F25" s="107"/>
      <c r="G25" s="111"/>
      <c r="H25" s="101"/>
    </row>
    <row r="26" spans="2:10">
      <c r="B26" s="52" t="s">
        <v>133</v>
      </c>
      <c r="C26" s="41"/>
      <c r="D26" s="106">
        <v>1</v>
      </c>
      <c r="E26" s="125" t="s">
        <v>132</v>
      </c>
      <c r="F26" s="119"/>
      <c r="G26" s="123">
        <f>IF((C36+C46+C58+C70)&gt;0,G35*4/D26,C27*4/D26)</f>
        <v>0</v>
      </c>
      <c r="H26" s="101"/>
    </row>
    <row r="27" spans="2:10">
      <c r="B27" s="42" t="s">
        <v>144</v>
      </c>
      <c r="C27" s="104">
        <v>0</v>
      </c>
      <c r="D27" s="107"/>
      <c r="E27" s="125"/>
      <c r="F27" s="126"/>
      <c r="G27" s="127"/>
      <c r="H27" s="101"/>
    </row>
    <row r="28" spans="2:10">
      <c r="B28" s="43"/>
      <c r="C28" s="44"/>
      <c r="D28" s="107"/>
      <c r="E28" s="125"/>
      <c r="F28" s="126"/>
      <c r="G28" s="127"/>
      <c r="H28" s="101"/>
    </row>
    <row r="29" spans="2:10">
      <c r="B29" s="43"/>
      <c r="C29" s="44"/>
      <c r="D29" s="107"/>
      <c r="E29" s="125"/>
      <c r="F29" s="126"/>
      <c r="G29" s="127"/>
      <c r="H29" s="101"/>
    </row>
    <row r="30" spans="2:10">
      <c r="B30" s="43"/>
      <c r="C30" s="44"/>
      <c r="D30" s="107"/>
      <c r="E30" s="125"/>
      <c r="F30" s="126"/>
      <c r="G30" s="127"/>
      <c r="H30" s="101"/>
    </row>
    <row r="31" spans="2:10">
      <c r="B31" s="43"/>
      <c r="C31" s="44"/>
      <c r="D31" s="107"/>
      <c r="E31" s="125"/>
      <c r="F31" s="126"/>
      <c r="G31" s="127"/>
      <c r="H31" s="101"/>
    </row>
    <row r="32" spans="2:10">
      <c r="B32" s="43"/>
      <c r="C32" s="44"/>
      <c r="D32" s="107"/>
      <c r="E32" s="125"/>
      <c r="F32" s="122"/>
      <c r="G32" s="128"/>
      <c r="H32" s="101"/>
    </row>
    <row r="33" spans="2:11">
      <c r="B33" s="43"/>
      <c r="C33" s="44"/>
      <c r="D33" s="107"/>
      <c r="E33" s="125" t="s">
        <v>110</v>
      </c>
      <c r="F33" s="106">
        <v>1</v>
      </c>
      <c r="G33" s="123">
        <f>IF((C36+C46+C58+C70)&gt;0,G35*630000/D26,C27*630000/D26)</f>
        <v>0</v>
      </c>
      <c r="H33" s="101"/>
    </row>
    <row r="34" spans="2:11">
      <c r="B34" s="45"/>
      <c r="C34" s="46"/>
      <c r="D34" s="107"/>
      <c r="E34" s="125"/>
      <c r="F34" s="107"/>
      <c r="G34" s="124"/>
      <c r="H34" s="101"/>
    </row>
    <row r="35" spans="2:11">
      <c r="B35" s="33" t="s">
        <v>135</v>
      </c>
      <c r="C35" s="34"/>
      <c r="D35" s="106">
        <v>1</v>
      </c>
      <c r="E35" s="129" t="s">
        <v>134</v>
      </c>
      <c r="F35" s="108"/>
      <c r="G35" s="110">
        <f>IF((C46+C58+C70)&gt;0,G45*4/D35,C36*4/D35)</f>
        <v>0</v>
      </c>
      <c r="H35" s="101"/>
      <c r="K35" s="21"/>
    </row>
    <row r="36" spans="2:11">
      <c r="B36" s="35" t="s">
        <v>144</v>
      </c>
      <c r="C36" s="104">
        <v>0</v>
      </c>
      <c r="D36" s="107"/>
      <c r="E36" s="129"/>
      <c r="F36" s="130"/>
      <c r="G36" s="127"/>
      <c r="H36" s="101"/>
      <c r="K36" s="21"/>
    </row>
    <row r="37" spans="2:11">
      <c r="B37" s="38"/>
      <c r="C37" s="39"/>
      <c r="D37" s="107"/>
      <c r="E37" s="129"/>
      <c r="F37" s="130"/>
      <c r="G37" s="127"/>
      <c r="H37" s="101"/>
      <c r="K37" s="21"/>
    </row>
    <row r="38" spans="2:11">
      <c r="B38" s="38"/>
      <c r="C38" s="39"/>
      <c r="D38" s="107"/>
      <c r="E38" s="129"/>
      <c r="F38" s="130"/>
      <c r="G38" s="127"/>
      <c r="H38" s="101"/>
      <c r="K38" s="21"/>
    </row>
    <row r="39" spans="2:11">
      <c r="B39" s="38"/>
      <c r="C39" s="39"/>
      <c r="D39" s="107"/>
      <c r="E39" s="129"/>
      <c r="F39" s="130"/>
      <c r="G39" s="127"/>
      <c r="H39" s="101"/>
      <c r="K39" s="22"/>
    </row>
    <row r="40" spans="2:11">
      <c r="B40" s="38"/>
      <c r="C40" s="39"/>
      <c r="D40" s="107"/>
      <c r="E40" s="129"/>
      <c r="F40" s="130"/>
      <c r="G40" s="127"/>
      <c r="H40" s="101"/>
      <c r="K40" s="22"/>
    </row>
    <row r="41" spans="2:11">
      <c r="B41" s="38"/>
      <c r="C41" s="39"/>
      <c r="D41" s="107"/>
      <c r="E41" s="129"/>
      <c r="F41" s="130"/>
      <c r="G41" s="127"/>
      <c r="H41" s="101"/>
      <c r="K41" s="22"/>
    </row>
    <row r="42" spans="2:11">
      <c r="B42" s="38"/>
      <c r="C42" s="39"/>
      <c r="D42" s="107"/>
      <c r="E42" s="129"/>
      <c r="F42" s="109"/>
      <c r="G42" s="128"/>
      <c r="H42" s="101"/>
      <c r="K42" s="22"/>
    </row>
    <row r="43" spans="2:11">
      <c r="B43" s="38"/>
      <c r="C43" s="39"/>
      <c r="D43" s="107"/>
      <c r="E43" s="129" t="s">
        <v>137</v>
      </c>
      <c r="F43" s="106">
        <v>1</v>
      </c>
      <c r="G43" s="110">
        <f>IF((C46+C58+C70)&gt;0,G45*2500000/D35,C36*2500000/D35)</f>
        <v>0</v>
      </c>
      <c r="H43" s="101"/>
      <c r="K43" s="22"/>
    </row>
    <row r="44" spans="2:11">
      <c r="B44" s="36"/>
      <c r="C44" s="37"/>
      <c r="D44" s="107"/>
      <c r="E44" s="129"/>
      <c r="F44" s="107"/>
      <c r="G44" s="111"/>
      <c r="H44" s="101"/>
      <c r="K44" s="22"/>
    </row>
    <row r="45" spans="2:11">
      <c r="B45" s="52" t="s">
        <v>138</v>
      </c>
      <c r="C45" s="41"/>
      <c r="D45" s="106">
        <v>1</v>
      </c>
      <c r="E45" s="125" t="s">
        <v>136</v>
      </c>
      <c r="F45" s="119"/>
      <c r="G45" s="123">
        <f>IF((C58+C70)&gt;0,G57*4/D45,C46*4/D45)</f>
        <v>0</v>
      </c>
      <c r="H45" s="101"/>
      <c r="K45" s="22"/>
    </row>
    <row r="46" spans="2:11">
      <c r="B46" s="42" t="s">
        <v>144</v>
      </c>
      <c r="C46" s="104">
        <v>0</v>
      </c>
      <c r="D46" s="107"/>
      <c r="E46" s="125"/>
      <c r="F46" s="126"/>
      <c r="G46" s="127"/>
      <c r="H46" s="101"/>
      <c r="K46" s="22"/>
    </row>
    <row r="47" spans="2:11">
      <c r="B47" s="43"/>
      <c r="C47" s="44"/>
      <c r="D47" s="107"/>
      <c r="E47" s="125"/>
      <c r="F47" s="126"/>
      <c r="G47" s="127"/>
      <c r="H47" s="101"/>
      <c r="K47" s="22"/>
    </row>
    <row r="48" spans="2:11">
      <c r="B48" s="43"/>
      <c r="C48" s="44"/>
      <c r="D48" s="107"/>
      <c r="E48" s="125"/>
      <c r="F48" s="126"/>
      <c r="G48" s="127"/>
      <c r="H48" s="101"/>
      <c r="K48" s="22"/>
    </row>
    <row r="49" spans="2:11">
      <c r="B49" s="43"/>
      <c r="C49" s="44"/>
      <c r="D49" s="107"/>
      <c r="E49" s="125"/>
      <c r="F49" s="126"/>
      <c r="G49" s="127"/>
      <c r="H49" s="101"/>
      <c r="K49" s="22"/>
    </row>
    <row r="50" spans="2:11">
      <c r="B50" s="43"/>
      <c r="C50" s="44"/>
      <c r="D50" s="107"/>
      <c r="E50" s="125"/>
      <c r="F50" s="126"/>
      <c r="G50" s="127"/>
      <c r="H50" s="101"/>
      <c r="K50" s="22"/>
    </row>
    <row r="51" spans="2:11">
      <c r="B51" s="43"/>
      <c r="C51" s="44"/>
      <c r="D51" s="107"/>
      <c r="E51" s="125"/>
      <c r="F51" s="126"/>
      <c r="G51" s="127"/>
      <c r="H51" s="101"/>
      <c r="K51" s="22"/>
    </row>
    <row r="52" spans="2:11">
      <c r="B52" s="43"/>
      <c r="C52" s="44"/>
      <c r="D52" s="107"/>
      <c r="E52" s="125"/>
      <c r="F52" s="126"/>
      <c r="G52" s="127"/>
      <c r="H52" s="101"/>
      <c r="K52" s="22"/>
    </row>
    <row r="53" spans="2:11">
      <c r="B53" s="43"/>
      <c r="C53" s="44"/>
      <c r="D53" s="107"/>
      <c r="E53" s="125"/>
      <c r="F53" s="126"/>
      <c r="G53" s="127"/>
      <c r="H53" s="101"/>
      <c r="K53" s="22"/>
    </row>
    <row r="54" spans="2:11">
      <c r="B54" s="43"/>
      <c r="C54" s="44"/>
      <c r="D54" s="107"/>
      <c r="E54" s="125"/>
      <c r="F54" s="120"/>
      <c r="G54" s="128"/>
      <c r="H54" s="101"/>
      <c r="K54" s="22"/>
    </row>
    <row r="55" spans="2:11">
      <c r="B55" s="43"/>
      <c r="C55" s="44"/>
      <c r="D55" s="107"/>
      <c r="E55" s="125" t="s">
        <v>115</v>
      </c>
      <c r="F55" s="106">
        <v>1</v>
      </c>
      <c r="G55" s="123">
        <f>IF((C58+C70)&gt;0,G57*10000000/D45,C46*10000000/D45)</f>
        <v>0</v>
      </c>
      <c r="H55" s="101"/>
      <c r="K55" s="22"/>
    </row>
    <row r="56" spans="2:11">
      <c r="B56" s="45"/>
      <c r="C56" s="46"/>
      <c r="D56" s="107"/>
      <c r="E56" s="125"/>
      <c r="F56" s="107"/>
      <c r="G56" s="124"/>
      <c r="H56" s="101"/>
      <c r="K56" s="22"/>
    </row>
    <row r="57" spans="2:11">
      <c r="B57" s="33" t="s">
        <v>139</v>
      </c>
      <c r="C57" s="34"/>
      <c r="D57" s="106">
        <v>1</v>
      </c>
      <c r="E57" s="129" t="s">
        <v>141</v>
      </c>
      <c r="F57" s="108"/>
      <c r="G57" s="110">
        <f>IF(C70&gt;0,G69*4/D57,C58*4/D57)</f>
        <v>0</v>
      </c>
      <c r="H57" s="101"/>
      <c r="K57" s="22"/>
    </row>
    <row r="58" spans="2:11">
      <c r="B58" s="35" t="s">
        <v>144</v>
      </c>
      <c r="C58" s="104">
        <v>0</v>
      </c>
      <c r="D58" s="107"/>
      <c r="E58" s="129"/>
      <c r="F58" s="130"/>
      <c r="G58" s="127"/>
      <c r="H58" s="101"/>
      <c r="K58" s="22"/>
    </row>
    <row r="59" spans="2:11">
      <c r="B59" s="38"/>
      <c r="C59" s="39"/>
      <c r="D59" s="107"/>
      <c r="E59" s="129"/>
      <c r="F59" s="130"/>
      <c r="G59" s="127"/>
      <c r="H59" s="101"/>
      <c r="K59" s="22"/>
    </row>
    <row r="60" spans="2:11">
      <c r="B60" s="38"/>
      <c r="C60" s="39"/>
      <c r="D60" s="107"/>
      <c r="E60" s="129"/>
      <c r="F60" s="130"/>
      <c r="G60" s="127"/>
      <c r="H60" s="101"/>
      <c r="K60" s="22"/>
    </row>
    <row r="61" spans="2:11">
      <c r="B61" s="38"/>
      <c r="C61" s="39"/>
      <c r="D61" s="107"/>
      <c r="E61" s="129"/>
      <c r="F61" s="130"/>
      <c r="G61" s="127"/>
      <c r="H61" s="101"/>
      <c r="K61" s="22"/>
    </row>
    <row r="62" spans="2:11">
      <c r="B62" s="38"/>
      <c r="C62" s="39"/>
      <c r="D62" s="107"/>
      <c r="E62" s="129"/>
      <c r="F62" s="130"/>
      <c r="G62" s="127"/>
      <c r="H62" s="101"/>
      <c r="K62" s="22"/>
    </row>
    <row r="63" spans="2:11">
      <c r="B63" s="38"/>
      <c r="C63" s="39"/>
      <c r="D63" s="107"/>
      <c r="E63" s="129"/>
      <c r="F63" s="130"/>
      <c r="G63" s="127"/>
      <c r="H63" s="101"/>
      <c r="K63" s="22"/>
    </row>
    <row r="64" spans="2:11">
      <c r="B64" s="38"/>
      <c r="C64" s="39"/>
      <c r="D64" s="107"/>
      <c r="E64" s="129"/>
      <c r="F64" s="130"/>
      <c r="G64" s="127"/>
      <c r="H64" s="101"/>
      <c r="K64" s="22"/>
    </row>
    <row r="65" spans="2:11">
      <c r="B65" s="38"/>
      <c r="C65" s="39"/>
      <c r="D65" s="107"/>
      <c r="E65" s="129"/>
      <c r="F65" s="130"/>
      <c r="G65" s="127"/>
      <c r="H65" s="101"/>
      <c r="K65" s="22"/>
    </row>
    <row r="66" spans="2:11">
      <c r="B66" s="38"/>
      <c r="C66" s="39"/>
      <c r="D66" s="107"/>
      <c r="E66" s="129"/>
      <c r="F66" s="109"/>
      <c r="G66" s="128"/>
      <c r="H66" s="101"/>
      <c r="K66" s="22"/>
    </row>
    <row r="67" spans="2:11">
      <c r="B67" s="38"/>
      <c r="C67" s="39"/>
      <c r="D67" s="107"/>
      <c r="E67" s="129" t="s">
        <v>91</v>
      </c>
      <c r="F67" s="106">
        <v>1</v>
      </c>
      <c r="G67" s="110">
        <f>IF(C70&gt;0,G69*40000000/D57,C58*40000000/D57)</f>
        <v>0</v>
      </c>
      <c r="H67" s="101"/>
      <c r="K67" s="22"/>
    </row>
    <row r="68" spans="2:11">
      <c r="B68" s="36"/>
      <c r="C68" s="37"/>
      <c r="D68" s="107"/>
      <c r="E68" s="129"/>
      <c r="F68" s="107"/>
      <c r="G68" s="111"/>
      <c r="H68" s="101"/>
      <c r="K68" s="22"/>
    </row>
    <row r="69" spans="2:11">
      <c r="B69" s="52" t="s">
        <v>142</v>
      </c>
      <c r="C69" s="41"/>
      <c r="D69" s="106">
        <v>1</v>
      </c>
      <c r="E69" s="125" t="s">
        <v>140</v>
      </c>
      <c r="F69" s="119"/>
      <c r="G69" s="123">
        <f>IF(C70&gt;0,C70*4/D69,0)</f>
        <v>0</v>
      </c>
      <c r="H69" s="101"/>
      <c r="K69" s="22"/>
    </row>
    <row r="70" spans="2:11">
      <c r="B70" s="42" t="s">
        <v>144</v>
      </c>
      <c r="C70" s="104">
        <v>0</v>
      </c>
      <c r="D70" s="107"/>
      <c r="E70" s="125"/>
      <c r="F70" s="126"/>
      <c r="G70" s="127"/>
      <c r="H70" s="101"/>
      <c r="K70" s="22"/>
    </row>
    <row r="71" spans="2:11">
      <c r="B71" s="43"/>
      <c r="C71" s="44"/>
      <c r="D71" s="107"/>
      <c r="E71" s="125"/>
      <c r="F71" s="126"/>
      <c r="G71" s="127"/>
      <c r="H71" s="101"/>
      <c r="K71" s="22"/>
    </row>
    <row r="72" spans="2:11">
      <c r="B72" s="43"/>
      <c r="C72" s="44"/>
      <c r="D72" s="107"/>
      <c r="E72" s="125"/>
      <c r="F72" s="126"/>
      <c r="G72" s="127"/>
      <c r="H72" s="101"/>
      <c r="K72" s="22"/>
    </row>
    <row r="73" spans="2:11">
      <c r="B73" s="43"/>
      <c r="C73" s="44"/>
      <c r="D73" s="107"/>
      <c r="E73" s="125"/>
      <c r="F73" s="126"/>
      <c r="G73" s="127"/>
      <c r="H73" s="101"/>
    </row>
    <row r="74" spans="2:11">
      <c r="B74" s="43"/>
      <c r="C74" s="44"/>
      <c r="D74" s="107"/>
      <c r="E74" s="125"/>
      <c r="F74" s="126"/>
      <c r="G74" s="127"/>
      <c r="H74" s="101"/>
    </row>
    <row r="75" spans="2:11">
      <c r="B75" s="43"/>
      <c r="C75" s="44"/>
      <c r="D75" s="107"/>
      <c r="E75" s="125"/>
      <c r="F75" s="126"/>
      <c r="G75" s="127"/>
      <c r="H75" s="101"/>
    </row>
    <row r="76" spans="2:11">
      <c r="B76" s="43"/>
      <c r="C76" s="44"/>
      <c r="D76" s="107"/>
      <c r="E76" s="125"/>
      <c r="F76" s="126"/>
      <c r="G76" s="127"/>
      <c r="H76" s="101"/>
    </row>
    <row r="77" spans="2:11">
      <c r="B77" s="43"/>
      <c r="C77" s="44"/>
      <c r="D77" s="107"/>
      <c r="E77" s="125"/>
      <c r="F77" s="126"/>
      <c r="G77" s="127"/>
      <c r="H77" s="101"/>
    </row>
    <row r="78" spans="2:11">
      <c r="B78" s="43"/>
      <c r="C78" s="44"/>
      <c r="D78" s="107"/>
      <c r="E78" s="125"/>
      <c r="F78" s="126"/>
      <c r="G78" s="127"/>
      <c r="H78" s="101"/>
    </row>
    <row r="79" spans="2:11">
      <c r="B79" s="43"/>
      <c r="C79" s="44"/>
      <c r="D79" s="107"/>
      <c r="E79" s="125"/>
      <c r="F79" s="120"/>
      <c r="G79" s="128"/>
      <c r="H79" s="101"/>
    </row>
    <row r="80" spans="2:11">
      <c r="B80" s="43"/>
      <c r="C80" s="44"/>
      <c r="D80" s="107"/>
      <c r="E80" s="125" t="s">
        <v>143</v>
      </c>
      <c r="F80" s="106">
        <v>1</v>
      </c>
      <c r="G80" s="123">
        <f>IF(C70&gt;0,C70*160000000/D69,0)</f>
        <v>0</v>
      </c>
      <c r="H80" s="101"/>
    </row>
    <row r="81" spans="2:8">
      <c r="B81" s="45"/>
      <c r="C81" s="46"/>
      <c r="D81" s="107"/>
      <c r="E81" s="125"/>
      <c r="F81" s="107"/>
      <c r="G81" s="124"/>
      <c r="H81" s="101"/>
    </row>
  </sheetData>
  <mergeCells count="64">
    <mergeCell ref="D69:D81"/>
    <mergeCell ref="E69:E79"/>
    <mergeCell ref="F69:F79"/>
    <mergeCell ref="G69:G79"/>
    <mergeCell ref="E80:E81"/>
    <mergeCell ref="F80:F81"/>
    <mergeCell ref="G80:G81"/>
    <mergeCell ref="D57:D68"/>
    <mergeCell ref="E57:E66"/>
    <mergeCell ref="F57:F66"/>
    <mergeCell ref="G57:G66"/>
    <mergeCell ref="E67:E68"/>
    <mergeCell ref="F67:F68"/>
    <mergeCell ref="G67:G68"/>
    <mergeCell ref="D45:D56"/>
    <mergeCell ref="E45:E54"/>
    <mergeCell ref="F45:F54"/>
    <mergeCell ref="G45:G54"/>
    <mergeCell ref="E55:E56"/>
    <mergeCell ref="F55:F56"/>
    <mergeCell ref="G55:G56"/>
    <mergeCell ref="D35:D44"/>
    <mergeCell ref="E35:E42"/>
    <mergeCell ref="F35:F42"/>
    <mergeCell ref="G35:G42"/>
    <mergeCell ref="E43:E44"/>
    <mergeCell ref="F43:F44"/>
    <mergeCell ref="G43:G44"/>
    <mergeCell ref="D26:D34"/>
    <mergeCell ref="E26:E32"/>
    <mergeCell ref="F26:F32"/>
    <mergeCell ref="G26:G32"/>
    <mergeCell ref="E33:E34"/>
    <mergeCell ref="F33:F34"/>
    <mergeCell ref="G33:G34"/>
    <mergeCell ref="D19:D25"/>
    <mergeCell ref="E19:E23"/>
    <mergeCell ref="F19:F23"/>
    <mergeCell ref="G19:G23"/>
    <mergeCell ref="E24:E25"/>
    <mergeCell ref="F24:F25"/>
    <mergeCell ref="G24:G25"/>
    <mergeCell ref="D13:D18"/>
    <mergeCell ref="E13:E16"/>
    <mergeCell ref="F13:F16"/>
    <mergeCell ref="G13:G16"/>
    <mergeCell ref="E17:E18"/>
    <mergeCell ref="F17:F18"/>
    <mergeCell ref="G17:G18"/>
    <mergeCell ref="D9:D12"/>
    <mergeCell ref="E9:E10"/>
    <mergeCell ref="F9:F10"/>
    <mergeCell ref="G9:G10"/>
    <mergeCell ref="E11:E12"/>
    <mergeCell ref="F11:F12"/>
    <mergeCell ref="G11:G12"/>
    <mergeCell ref="B5:D5"/>
    <mergeCell ref="B6:C6"/>
    <mergeCell ref="B7:C7"/>
    <mergeCell ref="D7:D8"/>
    <mergeCell ref="E7:E8"/>
    <mergeCell ref="E5:G5"/>
    <mergeCell ref="G7:G8"/>
    <mergeCell ref="F7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70"/>
  <sheetViews>
    <sheetView tabSelected="1" zoomScaleNormal="100" workbookViewId="0">
      <selection activeCell="F17" sqref="F17:F20"/>
    </sheetView>
  </sheetViews>
  <sheetFormatPr baseColWidth="10" defaultRowHeight="15"/>
  <cols>
    <col min="1" max="1" width="1.5703125" style="13" customWidth="1"/>
    <col min="2" max="2" width="30.140625" style="13" customWidth="1"/>
    <col min="3" max="3" width="3.28515625" style="13" customWidth="1"/>
    <col min="4" max="4" width="4" style="14" bestFit="1" customWidth="1"/>
    <col min="5" max="5" width="23.5703125" style="13" customWidth="1"/>
    <col min="6" max="6" width="4" style="14" customWidth="1"/>
    <col min="7" max="7" width="31.28515625" style="55" customWidth="1"/>
    <col min="8" max="8" width="1.5703125" style="13" customWidth="1"/>
    <col min="9" max="9" width="13.42578125" style="14" customWidth="1"/>
    <col min="10" max="10" width="25.42578125" style="13" customWidth="1"/>
    <col min="11" max="11" width="8.5703125" style="13" customWidth="1"/>
    <col min="12" max="16384" width="11.42578125" style="13"/>
  </cols>
  <sheetData>
    <row r="1" spans="2:10">
      <c r="B1" s="13" t="s">
        <v>30</v>
      </c>
      <c r="E1" s="29"/>
      <c r="F1" s="85" t="s">
        <v>152</v>
      </c>
    </row>
    <row r="2" spans="2:10">
      <c r="E2" s="15"/>
    </row>
    <row r="3" spans="2:10">
      <c r="B3" s="54" t="s">
        <v>151</v>
      </c>
      <c r="C3" s="16"/>
      <c r="H3" s="17" t="s">
        <v>32</v>
      </c>
    </row>
    <row r="5" spans="2:10">
      <c r="B5" s="112" t="s">
        <v>29</v>
      </c>
      <c r="C5" s="112"/>
      <c r="D5" s="112"/>
      <c r="E5" s="113" t="s">
        <v>7</v>
      </c>
      <c r="F5" s="114"/>
      <c r="G5" s="115"/>
      <c r="I5" s="113" t="s">
        <v>8</v>
      </c>
      <c r="J5" s="139"/>
    </row>
    <row r="6" spans="2:10">
      <c r="B6" s="116" t="s">
        <v>28</v>
      </c>
      <c r="C6" s="115"/>
      <c r="D6" s="18" t="s">
        <v>31</v>
      </c>
      <c r="E6" s="68" t="s">
        <v>28</v>
      </c>
      <c r="F6" s="18" t="s">
        <v>31</v>
      </c>
      <c r="G6" s="56" t="s">
        <v>84</v>
      </c>
      <c r="I6" s="68" t="s">
        <v>28</v>
      </c>
      <c r="J6" s="18" t="s">
        <v>84</v>
      </c>
    </row>
    <row r="7" spans="2:10">
      <c r="B7" s="117" t="s">
        <v>97</v>
      </c>
      <c r="C7" s="143"/>
      <c r="D7" s="121">
        <v>1</v>
      </c>
      <c r="E7" s="119" t="s">
        <v>9</v>
      </c>
      <c r="F7" s="121">
        <v>1</v>
      </c>
      <c r="G7" s="123">
        <f>IF((C10+C13+C18+C24+C31+C39+C48+C59)&gt;0,G9*2400/D7,C8*2400/D7)</f>
        <v>0</v>
      </c>
      <c r="I7" s="91" t="s">
        <v>10</v>
      </c>
      <c r="J7" s="92">
        <f>2*G7/F7</f>
        <v>0</v>
      </c>
    </row>
    <row r="8" spans="2:10">
      <c r="B8" s="32" t="s">
        <v>144</v>
      </c>
      <c r="C8" s="67">
        <v>0</v>
      </c>
      <c r="D8" s="122"/>
      <c r="E8" s="120"/>
      <c r="F8" s="122"/>
      <c r="G8" s="124"/>
      <c r="I8" s="74" t="s">
        <v>11</v>
      </c>
      <c r="J8" s="20">
        <f>2*G10/F10</f>
        <v>0</v>
      </c>
    </row>
    <row r="9" spans="2:10">
      <c r="B9" s="33" t="s">
        <v>99</v>
      </c>
      <c r="C9" s="34"/>
      <c r="D9" s="106">
        <v>1</v>
      </c>
      <c r="E9" s="75" t="s">
        <v>98</v>
      </c>
      <c r="F9" s="69"/>
      <c r="G9" s="70">
        <f>IF((C13+C18+C24+C31+C39+C48+C59)&gt;0,G12*4/D9,C10*4/D9)</f>
        <v>0</v>
      </c>
      <c r="I9" s="73" t="s">
        <v>49</v>
      </c>
      <c r="J9" s="19">
        <f>2*G15/F15+2*G10/F10</f>
        <v>0</v>
      </c>
    </row>
    <row r="10" spans="2:10">
      <c r="B10" s="35" t="s">
        <v>144</v>
      </c>
      <c r="C10" s="67">
        <v>0</v>
      </c>
      <c r="D10" s="107"/>
      <c r="E10" s="108" t="s">
        <v>101</v>
      </c>
      <c r="F10" s="106">
        <v>1</v>
      </c>
      <c r="G10" s="110">
        <f>IF((C13+C18+C24+C31+C39+C48+C59)&gt;0,G12*9800/D9,C10*9800/D9)</f>
        <v>0</v>
      </c>
      <c r="I10" s="74" t="s">
        <v>18</v>
      </c>
      <c r="J10" s="20">
        <f>2*G21/F21+2*G15/F15</f>
        <v>0</v>
      </c>
    </row>
    <row r="11" spans="2:10">
      <c r="B11" s="36"/>
      <c r="C11" s="37"/>
      <c r="D11" s="107"/>
      <c r="E11" s="109"/>
      <c r="F11" s="107"/>
      <c r="G11" s="111"/>
      <c r="I11" s="73" t="s">
        <v>17</v>
      </c>
      <c r="J11" s="19">
        <f>2*G28/F28+2*G21/F21</f>
        <v>0</v>
      </c>
    </row>
    <row r="12" spans="2:10">
      <c r="B12" s="72" t="s">
        <v>102</v>
      </c>
      <c r="C12" s="41"/>
      <c r="D12" s="106">
        <v>1</v>
      </c>
      <c r="E12" s="125" t="s">
        <v>100</v>
      </c>
      <c r="F12" s="119"/>
      <c r="G12" s="123">
        <f>IF((C18+C24+C31+C39+C48+C59)&gt;0,G17*4/D12,C13*4/D12)</f>
        <v>0</v>
      </c>
      <c r="I12" s="74" t="s">
        <v>13</v>
      </c>
      <c r="J12" s="20">
        <f>2*G36/F36</f>
        <v>0</v>
      </c>
    </row>
    <row r="13" spans="2:10">
      <c r="B13" s="42" t="s">
        <v>144</v>
      </c>
      <c r="C13" s="67">
        <v>0</v>
      </c>
      <c r="D13" s="107"/>
      <c r="E13" s="125"/>
      <c r="F13" s="126"/>
      <c r="G13" s="127"/>
      <c r="I13" s="74" t="s">
        <v>27</v>
      </c>
      <c r="J13" s="20">
        <f>2*G36/F36+2*G28/F28</f>
        <v>0</v>
      </c>
    </row>
    <row r="14" spans="2:10">
      <c r="B14" s="43"/>
      <c r="C14" s="44"/>
      <c r="D14" s="107"/>
      <c r="E14" s="125"/>
      <c r="F14" s="120"/>
      <c r="G14" s="128"/>
      <c r="I14" s="73" t="s">
        <v>58</v>
      </c>
      <c r="J14" s="19">
        <f>2*G45/F45</f>
        <v>0</v>
      </c>
    </row>
    <row r="15" spans="2:10">
      <c r="B15" s="43"/>
      <c r="C15" s="44"/>
      <c r="D15" s="107"/>
      <c r="E15" s="125" t="s">
        <v>104</v>
      </c>
      <c r="F15" s="106">
        <v>1</v>
      </c>
      <c r="G15" s="123">
        <f>IF((C18+C24+C31+C39+C48+C59)&gt;0,G17*39000/D12,C13*39000/D12)</f>
        <v>0</v>
      </c>
      <c r="I15" s="73" t="s">
        <v>62</v>
      </c>
      <c r="J15" s="19">
        <f>2*G45/F45</f>
        <v>0</v>
      </c>
    </row>
    <row r="16" spans="2:10">
      <c r="B16" s="45"/>
      <c r="C16" s="46"/>
      <c r="D16" s="107"/>
      <c r="E16" s="125"/>
      <c r="F16" s="107"/>
      <c r="G16" s="124"/>
      <c r="I16" s="74" t="s">
        <v>79</v>
      </c>
      <c r="J16" s="20">
        <f>2*G56/F56</f>
        <v>0</v>
      </c>
    </row>
    <row r="17" spans="2:10">
      <c r="B17" s="33" t="s">
        <v>105</v>
      </c>
      <c r="C17" s="34"/>
      <c r="D17" s="106">
        <v>1</v>
      </c>
      <c r="E17" s="129" t="s">
        <v>103</v>
      </c>
      <c r="F17" s="108"/>
      <c r="G17" s="110">
        <f>IF((C24+C31+C39+C48+C59)&gt;0,G23*4/D17,C18*4/D17)</f>
        <v>0</v>
      </c>
      <c r="I17" s="74" t="s">
        <v>66</v>
      </c>
      <c r="J17" s="20">
        <f>2*G56/F56</f>
        <v>0</v>
      </c>
    </row>
    <row r="18" spans="2:10">
      <c r="B18" s="35" t="s">
        <v>144</v>
      </c>
      <c r="C18" s="67">
        <v>0</v>
      </c>
      <c r="D18" s="107"/>
      <c r="E18" s="129"/>
      <c r="F18" s="130"/>
      <c r="G18" s="127"/>
      <c r="I18" s="73" t="s">
        <v>94</v>
      </c>
      <c r="J18" s="19">
        <f>2*G69/F69</f>
        <v>0</v>
      </c>
    </row>
    <row r="19" spans="2:10">
      <c r="B19" s="38"/>
      <c r="C19" s="39"/>
      <c r="D19" s="107"/>
      <c r="E19" s="129"/>
      <c r="F19" s="130"/>
      <c r="G19" s="127"/>
      <c r="I19" s="73" t="s">
        <v>71</v>
      </c>
      <c r="J19" s="19">
        <f>2*G69/F69</f>
        <v>0</v>
      </c>
    </row>
    <row r="20" spans="2:10">
      <c r="B20" s="38"/>
      <c r="C20" s="39"/>
      <c r="D20" s="107"/>
      <c r="E20" s="129"/>
      <c r="F20" s="109"/>
      <c r="G20" s="128"/>
    </row>
    <row r="21" spans="2:10">
      <c r="B21" s="38"/>
      <c r="C21" s="39"/>
      <c r="D21" s="107"/>
      <c r="E21" s="129" t="s">
        <v>107</v>
      </c>
      <c r="F21" s="106">
        <v>1</v>
      </c>
      <c r="G21" s="110">
        <f>IF((C24+C31+C39+C48+C59)&gt;0,G23*160000/D17,C18*160000/D17)</f>
        <v>0</v>
      </c>
    </row>
    <row r="22" spans="2:10">
      <c r="B22" s="36"/>
      <c r="C22" s="37"/>
      <c r="D22" s="107"/>
      <c r="E22" s="129"/>
      <c r="F22" s="107"/>
      <c r="G22" s="111"/>
    </row>
    <row r="23" spans="2:10">
      <c r="B23" s="71" t="s">
        <v>108</v>
      </c>
      <c r="C23" s="41"/>
      <c r="D23" s="106">
        <v>1</v>
      </c>
      <c r="E23" s="125" t="s">
        <v>106</v>
      </c>
      <c r="F23" s="119"/>
      <c r="G23" s="123">
        <f>IF((C31+C39+C48+C59)&gt;0,G30*4/D23,C24*4/D23)</f>
        <v>0</v>
      </c>
    </row>
    <row r="24" spans="2:10">
      <c r="B24" s="42" t="s">
        <v>144</v>
      </c>
      <c r="C24" s="67">
        <v>0</v>
      </c>
      <c r="D24" s="107"/>
      <c r="E24" s="125"/>
      <c r="F24" s="126"/>
      <c r="G24" s="127"/>
    </row>
    <row r="25" spans="2:10">
      <c r="B25" s="43"/>
      <c r="C25" s="44"/>
      <c r="D25" s="107"/>
      <c r="E25" s="125"/>
      <c r="F25" s="126"/>
      <c r="G25" s="127"/>
      <c r="J25" s="21"/>
    </row>
    <row r="26" spans="2:10">
      <c r="B26" s="43"/>
      <c r="C26" s="44"/>
      <c r="D26" s="107"/>
      <c r="E26" s="125"/>
      <c r="F26" s="126"/>
      <c r="G26" s="127"/>
      <c r="J26" s="21"/>
    </row>
    <row r="27" spans="2:10">
      <c r="B27" s="43"/>
      <c r="C27" s="44"/>
      <c r="D27" s="107"/>
      <c r="E27" s="125"/>
      <c r="F27" s="126"/>
      <c r="G27" s="127"/>
      <c r="J27" s="21"/>
    </row>
    <row r="28" spans="2:10">
      <c r="B28" s="43"/>
      <c r="C28" s="44"/>
      <c r="D28" s="107"/>
      <c r="E28" s="125" t="s">
        <v>110</v>
      </c>
      <c r="F28" s="106">
        <v>1</v>
      </c>
      <c r="G28" s="123">
        <f>IF((C31+C39+C48+C59)&gt;0,G30*630000/D23,C24*630000/D23)</f>
        <v>0</v>
      </c>
      <c r="J28" s="22"/>
    </row>
    <row r="29" spans="2:10">
      <c r="B29" s="45"/>
      <c r="C29" s="46"/>
      <c r="D29" s="107"/>
      <c r="E29" s="125"/>
      <c r="F29" s="107"/>
      <c r="G29" s="124"/>
      <c r="J29" s="22"/>
    </row>
    <row r="30" spans="2:10">
      <c r="B30" s="33" t="s">
        <v>112</v>
      </c>
      <c r="C30" s="34"/>
      <c r="D30" s="106">
        <v>1</v>
      </c>
      <c r="E30" s="129" t="s">
        <v>109</v>
      </c>
      <c r="F30" s="108"/>
      <c r="G30" s="110">
        <f>IF((C39+C48+C59)&gt;0,G38*4/D30,C31*4/D30)</f>
        <v>0</v>
      </c>
      <c r="J30" s="22"/>
    </row>
    <row r="31" spans="2:10">
      <c r="B31" s="35" t="s">
        <v>144</v>
      </c>
      <c r="C31" s="67">
        <v>0</v>
      </c>
      <c r="D31" s="107"/>
      <c r="E31" s="129"/>
      <c r="F31" s="130"/>
      <c r="G31" s="127"/>
      <c r="J31" s="22"/>
    </row>
    <row r="32" spans="2:10">
      <c r="B32" s="38"/>
      <c r="C32" s="39"/>
      <c r="D32" s="107"/>
      <c r="E32" s="129"/>
      <c r="F32" s="130"/>
      <c r="G32" s="127"/>
      <c r="J32" s="22"/>
    </row>
    <row r="33" spans="2:10">
      <c r="B33" s="38"/>
      <c r="C33" s="39"/>
      <c r="D33" s="107"/>
      <c r="E33" s="129"/>
      <c r="F33" s="130"/>
      <c r="G33" s="127"/>
      <c r="J33" s="22"/>
    </row>
    <row r="34" spans="2:10">
      <c r="B34" s="38"/>
      <c r="C34" s="39"/>
      <c r="D34" s="107"/>
      <c r="E34" s="129"/>
      <c r="F34" s="130"/>
      <c r="G34" s="127"/>
      <c r="J34" s="22"/>
    </row>
    <row r="35" spans="2:10">
      <c r="B35" s="38"/>
      <c r="C35" s="39"/>
      <c r="D35" s="107"/>
      <c r="E35" s="129"/>
      <c r="F35" s="109"/>
      <c r="G35" s="128"/>
      <c r="J35" s="22"/>
    </row>
    <row r="36" spans="2:10">
      <c r="B36" s="38"/>
      <c r="C36" s="39"/>
      <c r="D36" s="107"/>
      <c r="E36" s="129" t="s">
        <v>76</v>
      </c>
      <c r="F36" s="106">
        <v>1</v>
      </c>
      <c r="G36" s="110">
        <f>IF((C39+C48+C59)&gt;0,G38*2500000/D30,C31*2500000/D30)</f>
        <v>0</v>
      </c>
      <c r="J36" s="22"/>
    </row>
    <row r="37" spans="2:10">
      <c r="B37" s="36"/>
      <c r="C37" s="37"/>
      <c r="D37" s="107"/>
      <c r="E37" s="129"/>
      <c r="F37" s="107"/>
      <c r="G37" s="111"/>
      <c r="J37" s="22"/>
    </row>
    <row r="38" spans="2:10">
      <c r="B38" s="72" t="s">
        <v>113</v>
      </c>
      <c r="C38" s="41"/>
      <c r="D38" s="106">
        <v>1</v>
      </c>
      <c r="E38" s="125" t="s">
        <v>111</v>
      </c>
      <c r="F38" s="119"/>
      <c r="G38" s="123">
        <f>IF((C48+C59)&gt;0,G47*4/D38,C39*4/D38)</f>
        <v>0</v>
      </c>
      <c r="J38" s="22"/>
    </row>
    <row r="39" spans="2:10">
      <c r="B39" s="42" t="s">
        <v>144</v>
      </c>
      <c r="C39" s="67">
        <v>0</v>
      </c>
      <c r="D39" s="107"/>
      <c r="E39" s="125"/>
      <c r="F39" s="126"/>
      <c r="G39" s="127"/>
      <c r="J39" s="22"/>
    </row>
    <row r="40" spans="2:10">
      <c r="B40" s="43"/>
      <c r="C40" s="44"/>
      <c r="D40" s="107"/>
      <c r="E40" s="125"/>
      <c r="F40" s="126"/>
      <c r="G40" s="127"/>
      <c r="J40" s="22"/>
    </row>
    <row r="41" spans="2:10">
      <c r="B41" s="43"/>
      <c r="C41" s="44"/>
      <c r="D41" s="107"/>
      <c r="E41" s="125"/>
      <c r="F41" s="126"/>
      <c r="G41" s="127"/>
      <c r="J41" s="22"/>
    </row>
    <row r="42" spans="2:10">
      <c r="B42" s="43"/>
      <c r="C42" s="44"/>
      <c r="D42" s="107"/>
      <c r="E42" s="125"/>
      <c r="F42" s="126"/>
      <c r="G42" s="127"/>
      <c r="J42" s="22"/>
    </row>
    <row r="43" spans="2:10">
      <c r="B43" s="43"/>
      <c r="C43" s="44"/>
      <c r="D43" s="107"/>
      <c r="E43" s="125"/>
      <c r="F43" s="126"/>
      <c r="G43" s="127"/>
      <c r="J43" s="22"/>
    </row>
    <row r="44" spans="2:10">
      <c r="B44" s="43"/>
      <c r="C44" s="44"/>
      <c r="D44" s="107"/>
      <c r="E44" s="125"/>
      <c r="F44" s="126"/>
      <c r="G44" s="127"/>
      <c r="J44" s="22"/>
    </row>
    <row r="45" spans="2:10">
      <c r="B45" s="43"/>
      <c r="C45" s="44"/>
      <c r="D45" s="107"/>
      <c r="E45" s="125" t="s">
        <v>115</v>
      </c>
      <c r="F45" s="106">
        <v>1</v>
      </c>
      <c r="G45" s="123">
        <f>IF((C48+C59)&gt;0,G47*10000000/D38,C39*10000000/D38)</f>
        <v>0</v>
      </c>
      <c r="J45" s="22"/>
    </row>
    <row r="46" spans="2:10">
      <c r="B46" s="45"/>
      <c r="C46" s="46"/>
      <c r="D46" s="107"/>
      <c r="E46" s="125"/>
      <c r="F46" s="107"/>
      <c r="G46" s="124"/>
      <c r="J46" s="22"/>
    </row>
    <row r="47" spans="2:10">
      <c r="B47" s="33" t="s">
        <v>120</v>
      </c>
      <c r="C47" s="34"/>
      <c r="D47" s="106">
        <v>1</v>
      </c>
      <c r="E47" s="108" t="s">
        <v>114</v>
      </c>
      <c r="F47" s="108"/>
      <c r="G47" s="110">
        <f>IF(C59&gt;0,G58*4/D47,C48*4/D47)</f>
        <v>0</v>
      </c>
      <c r="J47" s="22"/>
    </row>
    <row r="48" spans="2:10">
      <c r="B48" s="35" t="s">
        <v>144</v>
      </c>
      <c r="C48" s="67">
        <v>0</v>
      </c>
      <c r="D48" s="107"/>
      <c r="E48" s="130"/>
      <c r="F48" s="130"/>
      <c r="G48" s="127"/>
      <c r="J48" s="22"/>
    </row>
    <row r="49" spans="2:10">
      <c r="B49" s="38"/>
      <c r="C49" s="39"/>
      <c r="D49" s="107"/>
      <c r="E49" s="130"/>
      <c r="F49" s="130"/>
      <c r="G49" s="127"/>
      <c r="J49" s="22"/>
    </row>
    <row r="50" spans="2:10">
      <c r="B50" s="38"/>
      <c r="C50" s="39"/>
      <c r="D50" s="107"/>
      <c r="E50" s="130"/>
      <c r="F50" s="130"/>
      <c r="G50" s="127"/>
      <c r="J50" s="22"/>
    </row>
    <row r="51" spans="2:10">
      <c r="B51" s="38"/>
      <c r="C51" s="39"/>
      <c r="D51" s="107"/>
      <c r="E51" s="130"/>
      <c r="F51" s="130"/>
      <c r="G51" s="127"/>
      <c r="J51" s="22"/>
    </row>
    <row r="52" spans="2:10">
      <c r="B52" s="38"/>
      <c r="C52" s="39"/>
      <c r="D52" s="107"/>
      <c r="E52" s="130"/>
      <c r="F52" s="130"/>
      <c r="G52" s="127"/>
      <c r="J52" s="22"/>
    </row>
    <row r="53" spans="2:10">
      <c r="B53" s="38"/>
      <c r="C53" s="39"/>
      <c r="D53" s="107"/>
      <c r="E53" s="130"/>
      <c r="F53" s="130"/>
      <c r="G53" s="127"/>
      <c r="J53" s="22"/>
    </row>
    <row r="54" spans="2:10">
      <c r="B54" s="38"/>
      <c r="C54" s="39"/>
      <c r="D54" s="107"/>
      <c r="E54" s="130"/>
      <c r="F54" s="130"/>
      <c r="G54" s="127"/>
      <c r="J54" s="22"/>
    </row>
    <row r="55" spans="2:10">
      <c r="B55" s="38"/>
      <c r="C55" s="39"/>
      <c r="D55" s="107"/>
      <c r="E55" s="109"/>
      <c r="F55" s="109"/>
      <c r="G55" s="128"/>
      <c r="J55" s="22"/>
    </row>
    <row r="56" spans="2:10">
      <c r="B56" s="38"/>
      <c r="C56" s="39"/>
      <c r="D56" s="107"/>
      <c r="E56" s="129" t="s">
        <v>91</v>
      </c>
      <c r="F56" s="106">
        <v>1</v>
      </c>
      <c r="G56" s="110">
        <f>IF(C59&gt;0,G58*40000000/D47,C48*40000000/D47)</f>
        <v>0</v>
      </c>
    </row>
    <row r="57" spans="2:10">
      <c r="B57" s="36"/>
      <c r="C57" s="37"/>
      <c r="D57" s="107"/>
      <c r="E57" s="129"/>
      <c r="F57" s="107"/>
      <c r="G57" s="111"/>
    </row>
    <row r="58" spans="2:10">
      <c r="B58" s="71" t="s">
        <v>119</v>
      </c>
      <c r="C58" s="41"/>
      <c r="D58" s="106">
        <v>1</v>
      </c>
      <c r="E58" s="119" t="s">
        <v>92</v>
      </c>
      <c r="F58" s="119"/>
      <c r="G58" s="123">
        <f>IF(C59&gt;0,C59*4/D58,0)</f>
        <v>0</v>
      </c>
    </row>
    <row r="59" spans="2:10">
      <c r="B59" s="42" t="s">
        <v>144</v>
      </c>
      <c r="C59" s="67">
        <v>0</v>
      </c>
      <c r="D59" s="107"/>
      <c r="E59" s="126"/>
      <c r="F59" s="126"/>
      <c r="G59" s="127"/>
    </row>
    <row r="60" spans="2:10">
      <c r="B60" s="43"/>
      <c r="C60" s="44"/>
      <c r="D60" s="107"/>
      <c r="E60" s="126"/>
      <c r="F60" s="126"/>
      <c r="G60" s="127"/>
    </row>
    <row r="61" spans="2:10">
      <c r="B61" s="43"/>
      <c r="C61" s="44"/>
      <c r="D61" s="107"/>
      <c r="E61" s="126"/>
      <c r="F61" s="126"/>
      <c r="G61" s="127"/>
    </row>
    <row r="62" spans="2:10">
      <c r="B62" s="43"/>
      <c r="C62" s="44"/>
      <c r="D62" s="107"/>
      <c r="E62" s="126"/>
      <c r="F62" s="126"/>
      <c r="G62" s="127"/>
    </row>
    <row r="63" spans="2:10">
      <c r="B63" s="43"/>
      <c r="C63" s="44"/>
      <c r="D63" s="107"/>
      <c r="E63" s="126"/>
      <c r="F63" s="126"/>
      <c r="G63" s="127"/>
    </row>
    <row r="64" spans="2:10">
      <c r="B64" s="43"/>
      <c r="C64" s="44"/>
      <c r="D64" s="107"/>
      <c r="E64" s="126"/>
      <c r="F64" s="126"/>
      <c r="G64" s="127"/>
    </row>
    <row r="65" spans="2:7">
      <c r="B65" s="43"/>
      <c r="C65" s="44"/>
      <c r="D65" s="107"/>
      <c r="E65" s="126"/>
      <c r="F65" s="126"/>
      <c r="G65" s="127"/>
    </row>
    <row r="66" spans="2:7">
      <c r="B66" s="43"/>
      <c r="C66" s="44"/>
      <c r="D66" s="107"/>
      <c r="E66" s="126"/>
      <c r="F66" s="126"/>
      <c r="G66" s="127"/>
    </row>
    <row r="67" spans="2:7">
      <c r="B67" s="43"/>
      <c r="C67" s="44"/>
      <c r="D67" s="107"/>
      <c r="E67" s="126"/>
      <c r="F67" s="126"/>
      <c r="G67" s="127"/>
    </row>
    <row r="68" spans="2:7">
      <c r="B68" s="43"/>
      <c r="C68" s="44"/>
      <c r="D68" s="107"/>
      <c r="E68" s="120"/>
      <c r="F68" s="120"/>
      <c r="G68" s="128"/>
    </row>
    <row r="69" spans="2:7">
      <c r="B69" s="43"/>
      <c r="C69" s="44"/>
      <c r="D69" s="107"/>
      <c r="E69" s="125" t="s">
        <v>93</v>
      </c>
      <c r="F69" s="106">
        <v>1</v>
      </c>
      <c r="G69" s="123">
        <f>IF(C59&gt;0,C59*160000000/D58,0)</f>
        <v>0</v>
      </c>
    </row>
    <row r="70" spans="2:7">
      <c r="B70" s="45"/>
      <c r="C70" s="46"/>
      <c r="D70" s="107"/>
      <c r="E70" s="125"/>
      <c r="F70" s="107"/>
      <c r="G70" s="124"/>
    </row>
  </sheetData>
  <mergeCells count="62">
    <mergeCell ref="I5:J5"/>
    <mergeCell ref="D58:D70"/>
    <mergeCell ref="E58:E68"/>
    <mergeCell ref="F45:F46"/>
    <mergeCell ref="D9:D11"/>
    <mergeCell ref="D17:D22"/>
    <mergeCell ref="E17:E20"/>
    <mergeCell ref="D23:D29"/>
    <mergeCell ref="E23:E27"/>
    <mergeCell ref="D30:D37"/>
    <mergeCell ref="E30:E35"/>
    <mergeCell ref="E45:E46"/>
    <mergeCell ref="D38:D46"/>
    <mergeCell ref="E38:E44"/>
    <mergeCell ref="E10:E11"/>
    <mergeCell ref="F10:F11"/>
    <mergeCell ref="D47:D57"/>
    <mergeCell ref="B5:D5"/>
    <mergeCell ref="E5:G5"/>
    <mergeCell ref="B6:C6"/>
    <mergeCell ref="B7:C7"/>
    <mergeCell ref="D7:D8"/>
    <mergeCell ref="E7:E8"/>
    <mergeCell ref="F7:F8"/>
    <mergeCell ref="G7:G8"/>
    <mergeCell ref="G10:G11"/>
    <mergeCell ref="D12:D16"/>
    <mergeCell ref="E12:E14"/>
    <mergeCell ref="F12:F14"/>
    <mergeCell ref="G12:G14"/>
    <mergeCell ref="E15:E16"/>
    <mergeCell ref="F15:F16"/>
    <mergeCell ref="G15:G16"/>
    <mergeCell ref="G23:G27"/>
    <mergeCell ref="E28:E29"/>
    <mergeCell ref="F28:F29"/>
    <mergeCell ref="G28:G29"/>
    <mergeCell ref="F17:F20"/>
    <mergeCell ref="G17:G20"/>
    <mergeCell ref="E21:E22"/>
    <mergeCell ref="F21:F22"/>
    <mergeCell ref="G21:G22"/>
    <mergeCell ref="E47:E55"/>
    <mergeCell ref="F47:F55"/>
    <mergeCell ref="G47:G55"/>
    <mergeCell ref="E56:E57"/>
    <mergeCell ref="F56:F57"/>
    <mergeCell ref="G56:G57"/>
    <mergeCell ref="F58:F68"/>
    <mergeCell ref="G58:G68"/>
    <mergeCell ref="E69:E70"/>
    <mergeCell ref="F69:F70"/>
    <mergeCell ref="G69:G70"/>
    <mergeCell ref="F38:F44"/>
    <mergeCell ref="G38:G44"/>
    <mergeCell ref="G45:G46"/>
    <mergeCell ref="F30:F35"/>
    <mergeCell ref="G30:G35"/>
    <mergeCell ref="E36:E37"/>
    <mergeCell ref="F36:F37"/>
    <mergeCell ref="G36:G37"/>
    <mergeCell ref="F23:F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0"/>
  <sheetViews>
    <sheetView workbookViewId="0">
      <selection activeCell="D15" sqref="D15:D16"/>
    </sheetView>
  </sheetViews>
  <sheetFormatPr baseColWidth="10" defaultRowHeight="15"/>
  <cols>
    <col min="1" max="1" width="30.140625" style="13" customWidth="1"/>
    <col min="2" max="2" width="3.28515625" style="13" customWidth="1"/>
    <col min="3" max="3" width="4" style="14" bestFit="1" customWidth="1"/>
    <col min="4" max="4" width="23.5703125" style="13" customWidth="1"/>
    <col min="5" max="5" width="4" style="14" customWidth="1"/>
    <col min="6" max="6" width="28.5703125" style="55" customWidth="1"/>
    <col min="7" max="7" width="13.85546875" style="13" customWidth="1"/>
    <col min="8" max="8" width="35.5703125" style="14" customWidth="1"/>
    <col min="9" max="9" width="25.42578125" style="13" customWidth="1"/>
    <col min="10" max="10" width="8.5703125" style="13" customWidth="1"/>
    <col min="11" max="16384" width="11.42578125" style="13"/>
  </cols>
  <sheetData>
    <row r="1" spans="1:8" ht="23.25">
      <c r="A1" s="86" t="s">
        <v>153</v>
      </c>
      <c r="D1" s="29"/>
      <c r="F1" s="85" t="s">
        <v>149</v>
      </c>
    </row>
    <row r="2" spans="1:8">
      <c r="D2" s="15"/>
    </row>
    <row r="3" spans="1:8">
      <c r="A3" s="54" t="s">
        <v>151</v>
      </c>
      <c r="B3" s="16"/>
      <c r="G3" s="17" t="s">
        <v>32</v>
      </c>
    </row>
    <row r="5" spans="1:8">
      <c r="A5" s="112" t="s">
        <v>29</v>
      </c>
      <c r="B5" s="112"/>
      <c r="C5" s="112"/>
      <c r="D5" s="113" t="s">
        <v>7</v>
      </c>
      <c r="E5" s="114"/>
      <c r="F5" s="115"/>
      <c r="G5" s="82" t="s">
        <v>8</v>
      </c>
      <c r="H5" s="82"/>
    </row>
    <row r="6" spans="1:8">
      <c r="A6" s="116" t="s">
        <v>28</v>
      </c>
      <c r="B6" s="115"/>
      <c r="C6" s="18" t="s">
        <v>31</v>
      </c>
      <c r="D6" s="79" t="s">
        <v>28</v>
      </c>
      <c r="E6" s="18" t="s">
        <v>31</v>
      </c>
      <c r="F6" s="56" t="s">
        <v>84</v>
      </c>
      <c r="G6" s="79" t="s">
        <v>28</v>
      </c>
      <c r="H6" s="18" t="s">
        <v>84</v>
      </c>
    </row>
    <row r="7" spans="1:8">
      <c r="A7" s="117" t="s">
        <v>97</v>
      </c>
      <c r="B7" s="143"/>
      <c r="C7" s="121">
        <v>1</v>
      </c>
      <c r="D7" s="119" t="s">
        <v>9</v>
      </c>
      <c r="E7" s="121">
        <v>1</v>
      </c>
      <c r="F7" s="123">
        <f>IF((B10+B13+B18+B24+B31+B39+B48+B59)&gt;0,F9*2400/C7/C9,B8*2400/C7)</f>
        <v>0</v>
      </c>
      <c r="G7" s="119" t="s">
        <v>10</v>
      </c>
      <c r="H7" s="131">
        <f>2*F7/E7</f>
        <v>0</v>
      </c>
    </row>
    <row r="8" spans="1:8">
      <c r="A8" s="32" t="s">
        <v>144</v>
      </c>
      <c r="B8" s="67">
        <v>0</v>
      </c>
      <c r="C8" s="122"/>
      <c r="D8" s="120"/>
      <c r="E8" s="122"/>
      <c r="F8" s="124"/>
      <c r="G8" s="120"/>
      <c r="H8" s="132"/>
    </row>
    <row r="9" spans="1:8">
      <c r="A9" s="33" t="s">
        <v>99</v>
      </c>
      <c r="B9" s="34"/>
      <c r="C9" s="106">
        <v>1</v>
      </c>
      <c r="D9" s="84" t="s">
        <v>98</v>
      </c>
      <c r="E9" s="78"/>
      <c r="F9" s="77">
        <f>IF((B13+B18+B24+B31+B39+B48+B59)&gt;0,F12*4/C7/C9/C12,B10*4/C7/C9)</f>
        <v>0</v>
      </c>
      <c r="G9" s="78" t="s">
        <v>10</v>
      </c>
      <c r="H9" s="20">
        <f>F9*H7</f>
        <v>0</v>
      </c>
    </row>
    <row r="10" spans="1:8">
      <c r="A10" s="35" t="s">
        <v>144</v>
      </c>
      <c r="B10" s="67">
        <v>0</v>
      </c>
      <c r="C10" s="107"/>
      <c r="D10" s="108" t="s">
        <v>101</v>
      </c>
      <c r="E10" s="106">
        <v>1</v>
      </c>
      <c r="F10" s="110">
        <f>IF((B13+B18+B24+B31+B39+B48+B59)&gt;0,F12*9800/C9,B10*9800/C9)</f>
        <v>0</v>
      </c>
      <c r="G10" s="81" t="s">
        <v>49</v>
      </c>
      <c r="H10" s="20">
        <f>2*F10/E10</f>
        <v>0</v>
      </c>
    </row>
    <row r="11" spans="1:8">
      <c r="A11" s="36"/>
      <c r="B11" s="37"/>
      <c r="C11" s="107"/>
      <c r="D11" s="109"/>
      <c r="E11" s="107"/>
      <c r="F11" s="111"/>
      <c r="G11" s="81" t="s">
        <v>11</v>
      </c>
      <c r="H11" s="20">
        <f>2*F10/E10</f>
        <v>0</v>
      </c>
    </row>
    <row r="12" spans="1:8">
      <c r="A12" s="76" t="s">
        <v>102</v>
      </c>
      <c r="B12" s="41"/>
      <c r="C12" s="106">
        <v>1</v>
      </c>
      <c r="D12" s="125" t="s">
        <v>100</v>
      </c>
      <c r="E12" s="119"/>
      <c r="F12" s="123">
        <f>IF((B18+B24+B31+B39+B48+B59)&gt;0,F17*4/C9/C12/C17,B13*4/C9/C12)</f>
        <v>0</v>
      </c>
      <c r="G12" s="80" t="s">
        <v>10</v>
      </c>
      <c r="H12" s="19">
        <f>F$12*H9</f>
        <v>0</v>
      </c>
    </row>
    <row r="13" spans="1:8">
      <c r="A13" s="42" t="s">
        <v>144</v>
      </c>
      <c r="B13" s="67">
        <v>0</v>
      </c>
      <c r="C13" s="107"/>
      <c r="D13" s="125"/>
      <c r="E13" s="126"/>
      <c r="F13" s="127"/>
      <c r="G13" s="80" t="s">
        <v>49</v>
      </c>
      <c r="H13" s="19">
        <f>F$12*H10</f>
        <v>0</v>
      </c>
    </row>
    <row r="14" spans="1:8">
      <c r="A14" s="43"/>
      <c r="B14" s="44"/>
      <c r="C14" s="107"/>
      <c r="D14" s="125"/>
      <c r="E14" s="120"/>
      <c r="F14" s="128"/>
      <c r="G14" s="80" t="s">
        <v>11</v>
      </c>
      <c r="H14" s="19">
        <f>F$12*H11</f>
        <v>0</v>
      </c>
    </row>
    <row r="15" spans="1:8">
      <c r="A15" s="43"/>
      <c r="B15" s="44"/>
      <c r="C15" s="107"/>
      <c r="D15" s="125" t="s">
        <v>104</v>
      </c>
      <c r="E15" s="106">
        <v>1</v>
      </c>
      <c r="F15" s="123">
        <f>IF((B18+B24+B31+B39+B48+B59)&gt;0,F17*39000/C12/C17,B13*39000/C12)</f>
        <v>0</v>
      </c>
      <c r="G15" s="80" t="s">
        <v>49</v>
      </c>
      <c r="H15" s="19">
        <f>2*F15/E15</f>
        <v>0</v>
      </c>
    </row>
    <row r="16" spans="1:8">
      <c r="A16" s="45"/>
      <c r="B16" s="46"/>
      <c r="C16" s="107"/>
      <c r="D16" s="125"/>
      <c r="E16" s="107"/>
      <c r="F16" s="124"/>
      <c r="G16" s="80" t="s">
        <v>18</v>
      </c>
      <c r="H16" s="19">
        <f>2*F15/E15</f>
        <v>0</v>
      </c>
    </row>
    <row r="17" spans="1:9">
      <c r="A17" s="33" t="s">
        <v>105</v>
      </c>
      <c r="B17" s="34"/>
      <c r="C17" s="106">
        <v>1</v>
      </c>
      <c r="D17" s="129" t="s">
        <v>103</v>
      </c>
      <c r="E17" s="108"/>
      <c r="F17" s="110">
        <f>IF((B24+B31+B39+B48+B59)&gt;0,F23*4/C12/C17/C23,B18*4/C12/C17)</f>
        <v>0</v>
      </c>
      <c r="G17" s="81" t="s">
        <v>10</v>
      </c>
      <c r="H17" s="20">
        <f>F$17*H12</f>
        <v>0</v>
      </c>
    </row>
    <row r="18" spans="1:9">
      <c r="A18" s="35" t="s">
        <v>144</v>
      </c>
      <c r="B18" s="67">
        <v>0</v>
      </c>
      <c r="C18" s="107"/>
      <c r="D18" s="129"/>
      <c r="E18" s="130"/>
      <c r="F18" s="127"/>
      <c r="G18" s="81" t="s">
        <v>49</v>
      </c>
      <c r="H18" s="20">
        <f>F$17*(H13+H15)</f>
        <v>0</v>
      </c>
    </row>
    <row r="19" spans="1:9">
      <c r="A19" s="38"/>
      <c r="B19" s="39"/>
      <c r="C19" s="107"/>
      <c r="D19" s="129"/>
      <c r="E19" s="130"/>
      <c r="F19" s="127"/>
      <c r="G19" s="81" t="s">
        <v>11</v>
      </c>
      <c r="H19" s="20">
        <f>F$17*H14</f>
        <v>0</v>
      </c>
    </row>
    <row r="20" spans="1:9">
      <c r="A20" s="38"/>
      <c r="B20" s="39"/>
      <c r="C20" s="107"/>
      <c r="D20" s="129"/>
      <c r="E20" s="109"/>
      <c r="F20" s="128"/>
      <c r="G20" s="81" t="s">
        <v>18</v>
      </c>
      <c r="H20" s="20">
        <f>F$17*H16</f>
        <v>0</v>
      </c>
    </row>
    <row r="21" spans="1:9">
      <c r="A21" s="38"/>
      <c r="B21" s="39"/>
      <c r="C21" s="107"/>
      <c r="D21" s="129" t="s">
        <v>107</v>
      </c>
      <c r="E21" s="106">
        <v>1</v>
      </c>
      <c r="F21" s="110">
        <f>IF((B24+B31+B39+B48+B59)&gt;0,F23*160000/C17/C23,B18*160000/C17)</f>
        <v>0</v>
      </c>
      <c r="G21" s="81" t="s">
        <v>18</v>
      </c>
      <c r="H21" s="20">
        <f>2*F21/E21</f>
        <v>0</v>
      </c>
    </row>
    <row r="22" spans="1:9">
      <c r="A22" s="36"/>
      <c r="B22" s="37"/>
      <c r="C22" s="107"/>
      <c r="D22" s="129"/>
      <c r="E22" s="107"/>
      <c r="F22" s="111"/>
      <c r="G22" s="81" t="s">
        <v>17</v>
      </c>
      <c r="H22" s="20">
        <f>2*F21/E21</f>
        <v>0</v>
      </c>
    </row>
    <row r="23" spans="1:9">
      <c r="A23" s="83" t="s">
        <v>108</v>
      </c>
      <c r="B23" s="41"/>
      <c r="C23" s="106">
        <v>1</v>
      </c>
      <c r="D23" s="125" t="s">
        <v>106</v>
      </c>
      <c r="E23" s="119"/>
      <c r="F23" s="123">
        <f>IF((B31+B39+B48+B59)&gt;0,F30*4/C17/C23/C30,B24*4/C17/C23)</f>
        <v>0</v>
      </c>
      <c r="G23" s="80" t="s">
        <v>10</v>
      </c>
      <c r="H23" s="19">
        <f>F$23*H17</f>
        <v>0</v>
      </c>
    </row>
    <row r="24" spans="1:9">
      <c r="A24" s="42" t="s">
        <v>144</v>
      </c>
      <c r="B24" s="67">
        <v>0</v>
      </c>
      <c r="C24" s="107"/>
      <c r="D24" s="125"/>
      <c r="E24" s="126"/>
      <c r="F24" s="127"/>
      <c r="G24" s="80" t="s">
        <v>49</v>
      </c>
      <c r="H24" s="19">
        <f>F$23*H18</f>
        <v>0</v>
      </c>
    </row>
    <row r="25" spans="1:9">
      <c r="A25" s="43"/>
      <c r="B25" s="44"/>
      <c r="C25" s="107"/>
      <c r="D25" s="125"/>
      <c r="E25" s="126"/>
      <c r="F25" s="127"/>
      <c r="G25" s="80" t="s">
        <v>11</v>
      </c>
      <c r="H25" s="19">
        <f>F$23*H19</f>
        <v>0</v>
      </c>
    </row>
    <row r="26" spans="1:9">
      <c r="A26" s="43"/>
      <c r="B26" s="44"/>
      <c r="C26" s="107"/>
      <c r="D26" s="125"/>
      <c r="E26" s="126"/>
      <c r="F26" s="127"/>
      <c r="G26" s="80" t="s">
        <v>18</v>
      </c>
      <c r="H26" s="19">
        <f>F$23*(H20+H21)</f>
        <v>0</v>
      </c>
    </row>
    <row r="27" spans="1:9">
      <c r="A27" s="43"/>
      <c r="B27" s="44"/>
      <c r="C27" s="107"/>
      <c r="D27" s="125"/>
      <c r="E27" s="126"/>
      <c r="F27" s="127"/>
      <c r="G27" s="80" t="s">
        <v>17</v>
      </c>
      <c r="H27" s="19">
        <f>F$23*H22</f>
        <v>0</v>
      </c>
    </row>
    <row r="28" spans="1:9">
      <c r="A28" s="43"/>
      <c r="B28" s="44"/>
      <c r="C28" s="107"/>
      <c r="D28" s="125" t="s">
        <v>110</v>
      </c>
      <c r="E28" s="106">
        <v>1</v>
      </c>
      <c r="F28" s="123">
        <f>IF((B31+B39+B48+B59)&gt;0,F30*630000/C23/C30,B24*630000/C23)</f>
        <v>0</v>
      </c>
      <c r="G28" s="80" t="s">
        <v>17</v>
      </c>
      <c r="H28" s="19">
        <f>2*F28/E28</f>
        <v>0</v>
      </c>
    </row>
    <row r="29" spans="1:9">
      <c r="A29" s="45"/>
      <c r="B29" s="46"/>
      <c r="C29" s="107"/>
      <c r="D29" s="125"/>
      <c r="E29" s="107"/>
      <c r="F29" s="124"/>
      <c r="G29" s="80" t="s">
        <v>27</v>
      </c>
      <c r="H29" s="19">
        <f>2*F28/E28</f>
        <v>0</v>
      </c>
    </row>
    <row r="30" spans="1:9">
      <c r="A30" s="33" t="s">
        <v>112</v>
      </c>
      <c r="B30" s="34"/>
      <c r="C30" s="106">
        <v>1</v>
      </c>
      <c r="D30" s="129" t="s">
        <v>109</v>
      </c>
      <c r="E30" s="108"/>
      <c r="F30" s="110">
        <f>IF((B39+B48+B59)&gt;0,F38*4/C23/C30,B31*4/C23/C30)</f>
        <v>0</v>
      </c>
      <c r="G30" s="81" t="s">
        <v>10</v>
      </c>
      <c r="H30" s="20">
        <f>F$30*H23</f>
        <v>0</v>
      </c>
      <c r="I30" s="21"/>
    </row>
    <row r="31" spans="1:9">
      <c r="A31" s="35" t="s">
        <v>144</v>
      </c>
      <c r="B31" s="67">
        <v>0</v>
      </c>
      <c r="C31" s="107"/>
      <c r="D31" s="129"/>
      <c r="E31" s="130"/>
      <c r="F31" s="127"/>
      <c r="G31" s="81" t="s">
        <v>49</v>
      </c>
      <c r="H31" s="20">
        <f t="shared" ref="H31:H33" si="0">F$30*H24</f>
        <v>0</v>
      </c>
      <c r="I31" s="21"/>
    </row>
    <row r="32" spans="1:9">
      <c r="A32" s="38"/>
      <c r="B32" s="39"/>
      <c r="C32" s="107"/>
      <c r="D32" s="129"/>
      <c r="E32" s="130"/>
      <c r="F32" s="127"/>
      <c r="G32" s="81" t="s">
        <v>11</v>
      </c>
      <c r="H32" s="20">
        <f t="shared" si="0"/>
        <v>0</v>
      </c>
      <c r="I32" s="21"/>
    </row>
    <row r="33" spans="1:9">
      <c r="A33" s="38"/>
      <c r="B33" s="39"/>
      <c r="C33" s="107"/>
      <c r="D33" s="129"/>
      <c r="E33" s="130"/>
      <c r="F33" s="127"/>
      <c r="G33" s="81" t="s">
        <v>18</v>
      </c>
      <c r="H33" s="20">
        <f t="shared" si="0"/>
        <v>0</v>
      </c>
      <c r="I33" s="22"/>
    </row>
    <row r="34" spans="1:9">
      <c r="A34" s="38"/>
      <c r="B34" s="39"/>
      <c r="C34" s="107"/>
      <c r="D34" s="129"/>
      <c r="E34" s="130"/>
      <c r="F34" s="127"/>
      <c r="G34" s="81" t="s">
        <v>17</v>
      </c>
      <c r="H34" s="20">
        <f>F$30*(H27+H28)</f>
        <v>0</v>
      </c>
      <c r="I34" s="22"/>
    </row>
    <row r="35" spans="1:9">
      <c r="A35" s="38"/>
      <c r="B35" s="39"/>
      <c r="C35" s="107"/>
      <c r="D35" s="129"/>
      <c r="E35" s="109"/>
      <c r="F35" s="128"/>
      <c r="G35" s="81" t="s">
        <v>27</v>
      </c>
      <c r="H35" s="20">
        <f>F$30*H29</f>
        <v>0</v>
      </c>
      <c r="I35" s="22"/>
    </row>
    <row r="36" spans="1:9">
      <c r="A36" s="38"/>
      <c r="B36" s="39"/>
      <c r="C36" s="107"/>
      <c r="D36" s="129" t="s">
        <v>76</v>
      </c>
      <c r="E36" s="106">
        <v>1</v>
      </c>
      <c r="F36" s="110">
        <f>IF((B39+B48+B59)&gt;0,F38*2500000/C30,B31*2500000/C30)</f>
        <v>0</v>
      </c>
      <c r="G36" s="81" t="s">
        <v>13</v>
      </c>
      <c r="H36" s="20">
        <f>2*F36/E36</f>
        <v>0</v>
      </c>
      <c r="I36" s="22"/>
    </row>
    <row r="37" spans="1:9">
      <c r="A37" s="36"/>
      <c r="B37" s="37"/>
      <c r="C37" s="107"/>
      <c r="D37" s="129"/>
      <c r="E37" s="107"/>
      <c r="F37" s="111"/>
      <c r="G37" s="81" t="s">
        <v>27</v>
      </c>
      <c r="H37" s="20">
        <f>2*F36/E36</f>
        <v>0</v>
      </c>
      <c r="I37" s="22"/>
    </row>
    <row r="38" spans="1:9">
      <c r="A38" s="76" t="s">
        <v>113</v>
      </c>
      <c r="B38" s="41"/>
      <c r="C38" s="106">
        <v>1</v>
      </c>
      <c r="D38" s="125" t="s">
        <v>111</v>
      </c>
      <c r="E38" s="119"/>
      <c r="F38" s="123">
        <f>IF((B48+B59)&gt;0,F47*4/C38,B39*4/C38)</f>
        <v>0</v>
      </c>
      <c r="G38" s="80" t="s">
        <v>10</v>
      </c>
      <c r="H38" s="19">
        <f>F$38*H30</f>
        <v>0</v>
      </c>
      <c r="I38" s="22"/>
    </row>
    <row r="39" spans="1:9">
      <c r="A39" s="42" t="s">
        <v>144</v>
      </c>
      <c r="B39" s="67">
        <v>0</v>
      </c>
      <c r="C39" s="107"/>
      <c r="D39" s="125"/>
      <c r="E39" s="126"/>
      <c r="F39" s="127"/>
      <c r="G39" s="80" t="s">
        <v>49</v>
      </c>
      <c r="H39" s="19">
        <f t="shared" ref="H39:H44" si="1">F$38*H31</f>
        <v>0</v>
      </c>
      <c r="I39" s="22"/>
    </row>
    <row r="40" spans="1:9">
      <c r="A40" s="43"/>
      <c r="B40" s="44"/>
      <c r="C40" s="107"/>
      <c r="D40" s="125"/>
      <c r="E40" s="126"/>
      <c r="F40" s="127"/>
      <c r="G40" s="80" t="s">
        <v>11</v>
      </c>
      <c r="H40" s="19">
        <f t="shared" si="1"/>
        <v>0</v>
      </c>
      <c r="I40" s="22"/>
    </row>
    <row r="41" spans="1:9">
      <c r="A41" s="43"/>
      <c r="B41" s="44"/>
      <c r="C41" s="107"/>
      <c r="D41" s="125"/>
      <c r="E41" s="126"/>
      <c r="F41" s="127"/>
      <c r="G41" s="80" t="s">
        <v>18</v>
      </c>
      <c r="H41" s="19">
        <f t="shared" si="1"/>
        <v>0</v>
      </c>
      <c r="I41" s="22"/>
    </row>
    <row r="42" spans="1:9">
      <c r="A42" s="43"/>
      <c r="B42" s="44"/>
      <c r="C42" s="107"/>
      <c r="D42" s="125"/>
      <c r="E42" s="126"/>
      <c r="F42" s="127"/>
      <c r="G42" s="80" t="s">
        <v>17</v>
      </c>
      <c r="H42" s="19">
        <f t="shared" si="1"/>
        <v>0</v>
      </c>
      <c r="I42" s="22"/>
    </row>
    <row r="43" spans="1:9">
      <c r="A43" s="43"/>
      <c r="B43" s="44"/>
      <c r="C43" s="107"/>
      <c r="D43" s="125"/>
      <c r="E43" s="126"/>
      <c r="F43" s="127"/>
      <c r="G43" s="80" t="s">
        <v>27</v>
      </c>
      <c r="H43" s="19">
        <f>F$38*(H35+H37)</f>
        <v>0</v>
      </c>
      <c r="I43" s="22"/>
    </row>
    <row r="44" spans="1:9">
      <c r="A44" s="43"/>
      <c r="B44" s="44"/>
      <c r="C44" s="107"/>
      <c r="D44" s="125"/>
      <c r="E44" s="126"/>
      <c r="F44" s="127"/>
      <c r="G44" s="80" t="s">
        <v>13</v>
      </c>
      <c r="H44" s="19">
        <f t="shared" si="1"/>
        <v>0</v>
      </c>
      <c r="I44" s="22"/>
    </row>
    <row r="45" spans="1:9">
      <c r="A45" s="43"/>
      <c r="B45" s="44"/>
      <c r="C45" s="107"/>
      <c r="D45" s="125" t="s">
        <v>115</v>
      </c>
      <c r="E45" s="106">
        <v>1</v>
      </c>
      <c r="F45" s="123">
        <f>IF((B48+B59)&gt;0,F47*10000000/C38,B39*10000000/C38)</f>
        <v>0</v>
      </c>
      <c r="G45" s="80" t="s">
        <v>58</v>
      </c>
      <c r="H45" s="19">
        <f>2*F45/E45</f>
        <v>0</v>
      </c>
      <c r="I45" s="22"/>
    </row>
    <row r="46" spans="1:9">
      <c r="A46" s="45"/>
      <c r="B46" s="46"/>
      <c r="C46" s="107"/>
      <c r="D46" s="125"/>
      <c r="E46" s="107"/>
      <c r="F46" s="124"/>
      <c r="G46" s="80" t="s">
        <v>62</v>
      </c>
      <c r="H46" s="19">
        <f>2*F45/E45</f>
        <v>0</v>
      </c>
      <c r="I46" s="22"/>
    </row>
    <row r="47" spans="1:9">
      <c r="A47" s="33" t="s">
        <v>120</v>
      </c>
      <c r="B47" s="34"/>
      <c r="C47" s="106">
        <v>1</v>
      </c>
      <c r="D47" s="108" t="s">
        <v>114</v>
      </c>
      <c r="E47" s="108"/>
      <c r="F47" s="110">
        <f>IF(B59&gt;0,F58*4/C47,B48*4/C47)</f>
        <v>0</v>
      </c>
      <c r="G47" s="81" t="s">
        <v>10</v>
      </c>
      <c r="H47" s="20">
        <f>F$47*H38</f>
        <v>0</v>
      </c>
      <c r="I47" s="22"/>
    </row>
    <row r="48" spans="1:9">
      <c r="A48" s="35" t="s">
        <v>144</v>
      </c>
      <c r="B48" s="67">
        <v>0</v>
      </c>
      <c r="C48" s="107"/>
      <c r="D48" s="130"/>
      <c r="E48" s="130"/>
      <c r="F48" s="127"/>
      <c r="G48" s="81" t="s">
        <v>49</v>
      </c>
      <c r="H48" s="20">
        <f t="shared" ref="H48:H55" si="2">F$47*H39</f>
        <v>0</v>
      </c>
      <c r="I48" s="22"/>
    </row>
    <row r="49" spans="1:9">
      <c r="A49" s="38"/>
      <c r="B49" s="39"/>
      <c r="C49" s="107"/>
      <c r="D49" s="130"/>
      <c r="E49" s="130"/>
      <c r="F49" s="127"/>
      <c r="G49" s="81" t="s">
        <v>11</v>
      </c>
      <c r="H49" s="20">
        <f t="shared" si="2"/>
        <v>0</v>
      </c>
      <c r="I49" s="22"/>
    </row>
    <row r="50" spans="1:9">
      <c r="A50" s="38"/>
      <c r="B50" s="39"/>
      <c r="C50" s="107"/>
      <c r="D50" s="130"/>
      <c r="E50" s="130"/>
      <c r="F50" s="127"/>
      <c r="G50" s="81" t="s">
        <v>18</v>
      </c>
      <c r="H50" s="20">
        <f t="shared" si="2"/>
        <v>0</v>
      </c>
      <c r="I50" s="22"/>
    </row>
    <row r="51" spans="1:9">
      <c r="A51" s="38"/>
      <c r="B51" s="39"/>
      <c r="C51" s="107"/>
      <c r="D51" s="130"/>
      <c r="E51" s="130"/>
      <c r="F51" s="127"/>
      <c r="G51" s="81" t="s">
        <v>17</v>
      </c>
      <c r="H51" s="20">
        <f t="shared" si="2"/>
        <v>0</v>
      </c>
      <c r="I51" s="22"/>
    </row>
    <row r="52" spans="1:9">
      <c r="A52" s="38"/>
      <c r="B52" s="39"/>
      <c r="C52" s="107"/>
      <c r="D52" s="130"/>
      <c r="E52" s="130"/>
      <c r="F52" s="127"/>
      <c r="G52" s="81" t="s">
        <v>27</v>
      </c>
      <c r="H52" s="20">
        <f t="shared" si="2"/>
        <v>0</v>
      </c>
      <c r="I52" s="22"/>
    </row>
    <row r="53" spans="1:9">
      <c r="A53" s="38"/>
      <c r="B53" s="39"/>
      <c r="C53" s="107"/>
      <c r="D53" s="130"/>
      <c r="E53" s="130"/>
      <c r="F53" s="127"/>
      <c r="G53" s="81" t="s">
        <v>13</v>
      </c>
      <c r="H53" s="20">
        <f t="shared" si="2"/>
        <v>0</v>
      </c>
      <c r="I53" s="22"/>
    </row>
    <row r="54" spans="1:9">
      <c r="A54" s="38"/>
      <c r="B54" s="39"/>
      <c r="C54" s="107"/>
      <c r="D54" s="130"/>
      <c r="E54" s="130"/>
      <c r="F54" s="127"/>
      <c r="G54" s="81" t="s">
        <v>58</v>
      </c>
      <c r="H54" s="20">
        <f t="shared" si="2"/>
        <v>0</v>
      </c>
      <c r="I54" s="22"/>
    </row>
    <row r="55" spans="1:9">
      <c r="A55" s="38"/>
      <c r="B55" s="39"/>
      <c r="C55" s="107"/>
      <c r="D55" s="109"/>
      <c r="E55" s="109"/>
      <c r="F55" s="128"/>
      <c r="G55" s="81" t="s">
        <v>62</v>
      </c>
      <c r="H55" s="20">
        <f t="shared" si="2"/>
        <v>0</v>
      </c>
      <c r="I55" s="22"/>
    </row>
    <row r="56" spans="1:9">
      <c r="A56" s="38"/>
      <c r="B56" s="39"/>
      <c r="C56" s="107"/>
      <c r="D56" s="129" t="s">
        <v>91</v>
      </c>
      <c r="E56" s="106">
        <v>1</v>
      </c>
      <c r="F56" s="110">
        <f>IF(B59&gt;0,F58*40000000/C47,B48*40000000/C47)</f>
        <v>0</v>
      </c>
      <c r="G56" s="81" t="s">
        <v>79</v>
      </c>
      <c r="H56" s="20">
        <f>2*F56/E56</f>
        <v>0</v>
      </c>
      <c r="I56" s="22"/>
    </row>
    <row r="57" spans="1:9">
      <c r="A57" s="36"/>
      <c r="B57" s="37"/>
      <c r="C57" s="107"/>
      <c r="D57" s="129"/>
      <c r="E57" s="107"/>
      <c r="F57" s="111"/>
      <c r="G57" s="81" t="s">
        <v>66</v>
      </c>
      <c r="H57" s="20">
        <f>2*F56/E56</f>
        <v>0</v>
      </c>
      <c r="I57" s="22"/>
    </row>
    <row r="58" spans="1:9">
      <c r="A58" s="83" t="s">
        <v>119</v>
      </c>
      <c r="B58" s="41"/>
      <c r="C58" s="106">
        <v>1</v>
      </c>
      <c r="D58" s="119" t="s">
        <v>92</v>
      </c>
      <c r="E58" s="119"/>
      <c r="F58" s="123">
        <f>IF(B59&gt;0,B59*4/C58,0)</f>
        <v>0</v>
      </c>
      <c r="G58" s="80" t="s">
        <v>10</v>
      </c>
      <c r="H58" s="19">
        <f>F$58*H47</f>
        <v>0</v>
      </c>
      <c r="I58" s="22"/>
    </row>
    <row r="59" spans="1:9">
      <c r="A59" s="42" t="s">
        <v>144</v>
      </c>
      <c r="B59" s="67">
        <v>0</v>
      </c>
      <c r="C59" s="107"/>
      <c r="D59" s="126"/>
      <c r="E59" s="126"/>
      <c r="F59" s="127"/>
      <c r="G59" s="80" t="s">
        <v>49</v>
      </c>
      <c r="H59" s="19">
        <f t="shared" ref="H59:H68" si="3">F$58*H48</f>
        <v>0</v>
      </c>
      <c r="I59" s="22"/>
    </row>
    <row r="60" spans="1:9">
      <c r="A60" s="43"/>
      <c r="B60" s="44"/>
      <c r="C60" s="107"/>
      <c r="D60" s="126"/>
      <c r="E60" s="126"/>
      <c r="F60" s="127"/>
      <c r="G60" s="80" t="s">
        <v>11</v>
      </c>
      <c r="H60" s="19">
        <f t="shared" si="3"/>
        <v>0</v>
      </c>
      <c r="I60" s="22"/>
    </row>
    <row r="61" spans="1:9">
      <c r="A61" s="43"/>
      <c r="B61" s="44"/>
      <c r="C61" s="107"/>
      <c r="D61" s="126"/>
      <c r="E61" s="126"/>
      <c r="F61" s="127"/>
      <c r="G61" s="80" t="s">
        <v>18</v>
      </c>
      <c r="H61" s="19">
        <f t="shared" si="3"/>
        <v>0</v>
      </c>
    </row>
    <row r="62" spans="1:9">
      <c r="A62" s="43"/>
      <c r="B62" s="44"/>
      <c r="C62" s="107"/>
      <c r="D62" s="126"/>
      <c r="E62" s="126"/>
      <c r="F62" s="127"/>
      <c r="G62" s="80" t="s">
        <v>17</v>
      </c>
      <c r="H62" s="19">
        <f t="shared" si="3"/>
        <v>0</v>
      </c>
    </row>
    <row r="63" spans="1:9">
      <c r="A63" s="43"/>
      <c r="B63" s="44"/>
      <c r="C63" s="107"/>
      <c r="D63" s="126"/>
      <c r="E63" s="126"/>
      <c r="F63" s="127"/>
      <c r="G63" s="80" t="s">
        <v>27</v>
      </c>
      <c r="H63" s="19">
        <f t="shared" si="3"/>
        <v>0</v>
      </c>
    </row>
    <row r="64" spans="1:9">
      <c r="A64" s="43"/>
      <c r="B64" s="44"/>
      <c r="C64" s="107"/>
      <c r="D64" s="126"/>
      <c r="E64" s="126"/>
      <c r="F64" s="127"/>
      <c r="G64" s="80" t="s">
        <v>13</v>
      </c>
      <c r="H64" s="19">
        <f t="shared" si="3"/>
        <v>0</v>
      </c>
    </row>
    <row r="65" spans="1:8">
      <c r="A65" s="43"/>
      <c r="B65" s="44"/>
      <c r="C65" s="107"/>
      <c r="D65" s="126"/>
      <c r="E65" s="126"/>
      <c r="F65" s="127"/>
      <c r="G65" s="80" t="s">
        <v>58</v>
      </c>
      <c r="H65" s="19">
        <f t="shared" si="3"/>
        <v>0</v>
      </c>
    </row>
    <row r="66" spans="1:8">
      <c r="A66" s="43"/>
      <c r="B66" s="44"/>
      <c r="C66" s="107"/>
      <c r="D66" s="126"/>
      <c r="E66" s="126"/>
      <c r="F66" s="127"/>
      <c r="G66" s="80" t="s">
        <v>62</v>
      </c>
      <c r="H66" s="19">
        <f t="shared" si="3"/>
        <v>0</v>
      </c>
    </row>
    <row r="67" spans="1:8">
      <c r="A67" s="43"/>
      <c r="B67" s="44"/>
      <c r="C67" s="107"/>
      <c r="D67" s="126"/>
      <c r="E67" s="126"/>
      <c r="F67" s="127"/>
      <c r="G67" s="80" t="s">
        <v>79</v>
      </c>
      <c r="H67" s="19">
        <f t="shared" si="3"/>
        <v>0</v>
      </c>
    </row>
    <row r="68" spans="1:8">
      <c r="A68" s="43"/>
      <c r="B68" s="44"/>
      <c r="C68" s="107"/>
      <c r="D68" s="120"/>
      <c r="E68" s="120"/>
      <c r="F68" s="128"/>
      <c r="G68" s="80" t="s">
        <v>66</v>
      </c>
      <c r="H68" s="19">
        <f t="shared" si="3"/>
        <v>0</v>
      </c>
    </row>
    <row r="69" spans="1:8">
      <c r="A69" s="43"/>
      <c r="B69" s="44"/>
      <c r="C69" s="107"/>
      <c r="D69" s="125" t="s">
        <v>93</v>
      </c>
      <c r="E69" s="106">
        <v>1</v>
      </c>
      <c r="F69" s="123">
        <f>IF(B59&gt;0,B59*160000000/C58,0)</f>
        <v>0</v>
      </c>
      <c r="G69" s="80" t="s">
        <v>94</v>
      </c>
      <c r="H69" s="19">
        <f>2*F69/E69</f>
        <v>0</v>
      </c>
    </row>
    <row r="70" spans="1:8">
      <c r="A70" s="45"/>
      <c r="B70" s="46"/>
      <c r="C70" s="107"/>
      <c r="D70" s="125"/>
      <c r="E70" s="107"/>
      <c r="F70" s="124"/>
      <c r="G70" s="80" t="s">
        <v>71</v>
      </c>
      <c r="H70" s="19">
        <f>2*F69/E69</f>
        <v>0</v>
      </c>
    </row>
  </sheetData>
  <mergeCells count="63">
    <mergeCell ref="G7:G8"/>
    <mergeCell ref="H7:H8"/>
    <mergeCell ref="C9:C11"/>
    <mergeCell ref="D10:D11"/>
    <mergeCell ref="E10:E11"/>
    <mergeCell ref="F10:F11"/>
    <mergeCell ref="C58:C70"/>
    <mergeCell ref="D58:D68"/>
    <mergeCell ref="E58:E68"/>
    <mergeCell ref="F58:F68"/>
    <mergeCell ref="D69:D70"/>
    <mergeCell ref="E69:E70"/>
    <mergeCell ref="F69:F70"/>
    <mergeCell ref="C47:C57"/>
    <mergeCell ref="D47:D55"/>
    <mergeCell ref="E47:E55"/>
    <mergeCell ref="F47:F55"/>
    <mergeCell ref="D56:D57"/>
    <mergeCell ref="E56:E57"/>
    <mergeCell ref="F56:F57"/>
    <mergeCell ref="C38:C46"/>
    <mergeCell ref="D38:D44"/>
    <mergeCell ref="E38:E44"/>
    <mergeCell ref="F38:F44"/>
    <mergeCell ref="D45:D46"/>
    <mergeCell ref="E45:E46"/>
    <mergeCell ref="F45:F46"/>
    <mergeCell ref="C30:C37"/>
    <mergeCell ref="D30:D35"/>
    <mergeCell ref="E30:E35"/>
    <mergeCell ref="F30:F35"/>
    <mergeCell ref="D36:D37"/>
    <mergeCell ref="E36:E37"/>
    <mergeCell ref="F36:F37"/>
    <mergeCell ref="C23:C29"/>
    <mergeCell ref="D23:D27"/>
    <mergeCell ref="E23:E27"/>
    <mergeCell ref="F23:F27"/>
    <mergeCell ref="D28:D29"/>
    <mergeCell ref="E28:E29"/>
    <mergeCell ref="F28:F29"/>
    <mergeCell ref="C17:C22"/>
    <mergeCell ref="D17:D20"/>
    <mergeCell ref="E17:E20"/>
    <mergeCell ref="F17:F20"/>
    <mergeCell ref="D21:D22"/>
    <mergeCell ref="E21:E22"/>
    <mergeCell ref="F21:F22"/>
    <mergeCell ref="C12:C16"/>
    <mergeCell ref="D12:D14"/>
    <mergeCell ref="E12:E14"/>
    <mergeCell ref="F12:F14"/>
    <mergeCell ref="D15:D16"/>
    <mergeCell ref="E15:E16"/>
    <mergeCell ref="F15:F16"/>
    <mergeCell ref="A5:C5"/>
    <mergeCell ref="D5:F5"/>
    <mergeCell ref="A6:B6"/>
    <mergeCell ref="A7:B7"/>
    <mergeCell ref="C7:C8"/>
    <mergeCell ref="D7:D8"/>
    <mergeCell ref="E7:E8"/>
    <mergeCell ref="F7:F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H77"/>
  <sheetViews>
    <sheetView workbookViewId="0">
      <selection activeCell="B1" sqref="B1"/>
    </sheetView>
  </sheetViews>
  <sheetFormatPr baseColWidth="10" defaultRowHeight="15"/>
  <cols>
    <col min="1" max="1" width="1.85546875" customWidth="1"/>
    <col min="2" max="2" width="32.7109375" bestFit="1" customWidth="1"/>
    <col min="3" max="3" width="4" style="4" bestFit="1" customWidth="1"/>
    <col min="4" max="4" width="34.140625" bestFit="1" customWidth="1"/>
    <col min="5" max="5" width="4" style="4" bestFit="1" customWidth="1"/>
    <col min="6" max="6" width="13.7109375" customWidth="1"/>
    <col min="7" max="7" width="28.28515625" style="4" bestFit="1" customWidth="1"/>
    <col min="8" max="8" width="25.42578125" customWidth="1"/>
    <col min="9" max="9" width="8.5703125" customWidth="1"/>
  </cols>
  <sheetData>
    <row r="1" spans="2:7" ht="21">
      <c r="B1" s="66" t="s">
        <v>150</v>
      </c>
      <c r="D1" s="28" t="s">
        <v>96</v>
      </c>
    </row>
    <row r="2" spans="2:7">
      <c r="D2" s="5"/>
    </row>
    <row r="3" spans="2:7">
      <c r="B3" s="6" t="s">
        <v>95</v>
      </c>
      <c r="F3" s="3"/>
      <c r="G3" s="7" t="s">
        <v>32</v>
      </c>
    </row>
    <row r="5" spans="2:7">
      <c r="B5" s="112" t="s">
        <v>29</v>
      </c>
      <c r="C5" s="112"/>
      <c r="D5" s="112" t="s">
        <v>7</v>
      </c>
      <c r="E5" s="112"/>
      <c r="F5" s="24" t="s">
        <v>8</v>
      </c>
      <c r="G5" s="24"/>
    </row>
    <row r="6" spans="2:7">
      <c r="B6" s="27" t="s">
        <v>28</v>
      </c>
      <c r="C6" s="18" t="s">
        <v>31</v>
      </c>
      <c r="D6" s="27" t="s">
        <v>28</v>
      </c>
      <c r="E6" s="18" t="s">
        <v>31</v>
      </c>
      <c r="F6" s="27" t="s">
        <v>28</v>
      </c>
      <c r="G6" s="18" t="s">
        <v>84</v>
      </c>
    </row>
    <row r="7" spans="2:7">
      <c r="B7" s="8" t="s">
        <v>2</v>
      </c>
      <c r="C7" s="26">
        <v>1</v>
      </c>
      <c r="D7" s="8" t="s">
        <v>19</v>
      </c>
      <c r="E7" s="9">
        <v>1</v>
      </c>
      <c r="F7" s="8" t="s">
        <v>10</v>
      </c>
      <c r="G7" s="10">
        <f>1*2*4900/E7/C7</f>
        <v>9800</v>
      </c>
    </row>
    <row r="8" spans="2:7">
      <c r="B8" s="129" t="s">
        <v>3</v>
      </c>
      <c r="C8" s="121">
        <v>1</v>
      </c>
      <c r="D8" s="11" t="s">
        <v>21</v>
      </c>
      <c r="E8" s="11"/>
      <c r="F8" s="11" t="s">
        <v>10</v>
      </c>
      <c r="G8" s="12">
        <f>1*4*G7/C$8</f>
        <v>39200</v>
      </c>
    </row>
    <row r="9" spans="2:7">
      <c r="B9" s="129"/>
      <c r="C9" s="145"/>
      <c r="D9" s="108" t="s">
        <v>20</v>
      </c>
      <c r="E9" s="121">
        <v>1</v>
      </c>
      <c r="F9" s="11" t="s">
        <v>14</v>
      </c>
      <c r="G9" s="12">
        <f>1*2*20000/E9/C$8</f>
        <v>40000</v>
      </c>
    </row>
    <row r="10" spans="2:7">
      <c r="B10" s="129"/>
      <c r="C10" s="122"/>
      <c r="D10" s="109"/>
      <c r="E10" s="122"/>
      <c r="F10" s="11" t="s">
        <v>11</v>
      </c>
      <c r="G10" s="12">
        <f>1*2*20000/E9/C$8</f>
        <v>40000</v>
      </c>
    </row>
    <row r="11" spans="2:7">
      <c r="B11" s="125" t="s">
        <v>4</v>
      </c>
      <c r="C11" s="121">
        <v>1</v>
      </c>
      <c r="D11" s="125" t="s">
        <v>22</v>
      </c>
      <c r="E11" s="119"/>
      <c r="F11" s="8" t="s">
        <v>10</v>
      </c>
      <c r="G11" s="10">
        <f>1*4*G8/C$11</f>
        <v>156800</v>
      </c>
    </row>
    <row r="12" spans="2:7">
      <c r="B12" s="125"/>
      <c r="C12" s="145"/>
      <c r="D12" s="125"/>
      <c r="E12" s="126"/>
      <c r="F12" s="8" t="s">
        <v>14</v>
      </c>
      <c r="G12" s="10">
        <f>1*4*G9/C$11</f>
        <v>160000</v>
      </c>
    </row>
    <row r="13" spans="2:7">
      <c r="B13" s="125"/>
      <c r="C13" s="145"/>
      <c r="D13" s="125"/>
      <c r="E13" s="120"/>
      <c r="F13" s="8" t="s">
        <v>11</v>
      </c>
      <c r="G13" s="10">
        <f>1*4*G10/C$11</f>
        <v>160000</v>
      </c>
    </row>
    <row r="14" spans="2:7">
      <c r="B14" s="125"/>
      <c r="C14" s="145"/>
      <c r="D14" s="125" t="s">
        <v>26</v>
      </c>
      <c r="E14" s="121">
        <v>1</v>
      </c>
      <c r="F14" s="8" t="s">
        <v>16</v>
      </c>
      <c r="G14" s="10">
        <f>1*2*79000/E$14/C$11</f>
        <v>158000</v>
      </c>
    </row>
    <row r="15" spans="2:7">
      <c r="B15" s="125"/>
      <c r="C15" s="122"/>
      <c r="D15" s="125"/>
      <c r="E15" s="122"/>
      <c r="F15" s="8" t="s">
        <v>15</v>
      </c>
      <c r="G15" s="10">
        <f>1*2*79000/E$14/C$11</f>
        <v>158000</v>
      </c>
    </row>
    <row r="16" spans="2:7">
      <c r="B16" s="129" t="s">
        <v>5</v>
      </c>
      <c r="C16" s="121">
        <v>1</v>
      </c>
      <c r="D16" s="129" t="s">
        <v>33</v>
      </c>
      <c r="E16" s="108"/>
      <c r="F16" s="11" t="s">
        <v>10</v>
      </c>
      <c r="G16" s="12">
        <f>1*4*G11/C16</f>
        <v>627200</v>
      </c>
    </row>
    <row r="17" spans="2:8">
      <c r="B17" s="129"/>
      <c r="C17" s="145"/>
      <c r="D17" s="129"/>
      <c r="E17" s="130"/>
      <c r="F17" s="11" t="s">
        <v>14</v>
      </c>
      <c r="G17" s="12">
        <f>1*4*G12/C16</f>
        <v>640000</v>
      </c>
    </row>
    <row r="18" spans="2:8">
      <c r="B18" s="129"/>
      <c r="C18" s="145"/>
      <c r="D18" s="129"/>
      <c r="E18" s="130"/>
      <c r="F18" s="11" t="s">
        <v>11</v>
      </c>
      <c r="G18" s="12">
        <f>1*4*G13/C16</f>
        <v>640000</v>
      </c>
    </row>
    <row r="19" spans="2:8">
      <c r="B19" s="129"/>
      <c r="C19" s="145"/>
      <c r="D19" s="129"/>
      <c r="E19" s="130"/>
      <c r="F19" s="11" t="s">
        <v>16</v>
      </c>
      <c r="G19" s="12">
        <f>1*4*G14/C16</f>
        <v>632000</v>
      </c>
    </row>
    <row r="20" spans="2:8">
      <c r="B20" s="129"/>
      <c r="C20" s="145"/>
      <c r="D20" s="129"/>
      <c r="E20" s="109"/>
      <c r="F20" s="11" t="s">
        <v>15</v>
      </c>
      <c r="G20" s="12">
        <f>1*4*G15/C16</f>
        <v>632000</v>
      </c>
    </row>
    <row r="21" spans="2:8">
      <c r="B21" s="129"/>
      <c r="C21" s="145"/>
      <c r="D21" s="108" t="s">
        <v>23</v>
      </c>
      <c r="E21" s="121">
        <v>1</v>
      </c>
      <c r="F21" s="11" t="s">
        <v>18</v>
      </c>
      <c r="G21" s="12">
        <f>1*2*310000/E21/C16</f>
        <v>620000</v>
      </c>
    </row>
    <row r="22" spans="2:8">
      <c r="B22" s="129"/>
      <c r="C22" s="122"/>
      <c r="D22" s="109"/>
      <c r="E22" s="122"/>
      <c r="F22" s="11" t="s">
        <v>16</v>
      </c>
      <c r="G22" s="12">
        <f>1*2*310000/E21/C16</f>
        <v>620000</v>
      </c>
    </row>
    <row r="23" spans="2:8">
      <c r="B23" s="125" t="s">
        <v>6</v>
      </c>
      <c r="C23" s="121">
        <v>1</v>
      </c>
      <c r="D23" s="119" t="s">
        <v>24</v>
      </c>
      <c r="E23" s="119"/>
      <c r="F23" s="8" t="s">
        <v>10</v>
      </c>
      <c r="G23" s="10">
        <f t="shared" ref="G23:G29" si="0">1*4*G16/C$23</f>
        <v>2508800</v>
      </c>
    </row>
    <row r="24" spans="2:8">
      <c r="B24" s="125"/>
      <c r="C24" s="145"/>
      <c r="D24" s="126"/>
      <c r="E24" s="126"/>
      <c r="F24" s="8" t="s">
        <v>14</v>
      </c>
      <c r="G24" s="10">
        <f t="shared" si="0"/>
        <v>2560000</v>
      </c>
    </row>
    <row r="25" spans="2:8">
      <c r="B25" s="125"/>
      <c r="C25" s="145"/>
      <c r="D25" s="126"/>
      <c r="E25" s="126"/>
      <c r="F25" s="8" t="s">
        <v>11</v>
      </c>
      <c r="G25" s="10">
        <f t="shared" si="0"/>
        <v>2560000</v>
      </c>
    </row>
    <row r="26" spans="2:8">
      <c r="B26" s="125"/>
      <c r="C26" s="145"/>
      <c r="D26" s="126"/>
      <c r="E26" s="126"/>
      <c r="F26" s="8" t="s">
        <v>16</v>
      </c>
      <c r="G26" s="10">
        <f t="shared" si="0"/>
        <v>2528000</v>
      </c>
    </row>
    <row r="27" spans="2:8">
      <c r="B27" s="125"/>
      <c r="C27" s="145"/>
      <c r="D27" s="126"/>
      <c r="E27" s="126"/>
      <c r="F27" s="8" t="s">
        <v>15</v>
      </c>
      <c r="G27" s="10">
        <f t="shared" si="0"/>
        <v>2528000</v>
      </c>
    </row>
    <row r="28" spans="2:8">
      <c r="B28" s="125"/>
      <c r="C28" s="145"/>
      <c r="D28" s="126"/>
      <c r="E28" s="126"/>
      <c r="F28" s="8" t="s">
        <v>18</v>
      </c>
      <c r="G28" s="10">
        <f t="shared" si="0"/>
        <v>2480000</v>
      </c>
    </row>
    <row r="29" spans="2:8">
      <c r="B29" s="125"/>
      <c r="C29" s="145"/>
      <c r="D29" s="120"/>
      <c r="E29" s="120"/>
      <c r="F29" s="8" t="s">
        <v>16</v>
      </c>
      <c r="G29" s="10">
        <f t="shared" si="0"/>
        <v>2480000</v>
      </c>
    </row>
    <row r="30" spans="2:8">
      <c r="B30" s="125"/>
      <c r="C30" s="145"/>
      <c r="D30" s="125" t="s">
        <v>25</v>
      </c>
      <c r="E30" s="121">
        <v>1</v>
      </c>
      <c r="F30" s="8" t="s">
        <v>13</v>
      </c>
      <c r="G30" s="10">
        <f>1*2*1300000/E30/C$23</f>
        <v>2600000</v>
      </c>
      <c r="H30" s="1"/>
    </row>
    <row r="31" spans="2:8">
      <c r="B31" s="125"/>
      <c r="C31" s="122"/>
      <c r="D31" s="125"/>
      <c r="E31" s="122"/>
      <c r="F31" s="8" t="s">
        <v>12</v>
      </c>
      <c r="G31" s="10">
        <f>1*2*1300000/E30/C$23</f>
        <v>2600000</v>
      </c>
      <c r="H31" s="1"/>
    </row>
    <row r="32" spans="2:8">
      <c r="B32" s="129" t="s">
        <v>89</v>
      </c>
      <c r="C32" s="121">
        <v>1</v>
      </c>
      <c r="D32" s="129" t="s">
        <v>87</v>
      </c>
      <c r="E32" s="108"/>
      <c r="F32" s="11" t="s">
        <v>10</v>
      </c>
      <c r="G32" s="12">
        <f t="shared" ref="G32:G39" si="1">1*4*G23/C$32</f>
        <v>10035200</v>
      </c>
      <c r="H32" s="1"/>
    </row>
    <row r="33" spans="2:8">
      <c r="B33" s="129"/>
      <c r="C33" s="145"/>
      <c r="D33" s="129"/>
      <c r="E33" s="130"/>
      <c r="F33" s="11" t="s">
        <v>14</v>
      </c>
      <c r="G33" s="12">
        <f t="shared" si="1"/>
        <v>10240000</v>
      </c>
      <c r="H33" s="1"/>
    </row>
    <row r="34" spans="2:8">
      <c r="B34" s="129"/>
      <c r="C34" s="145"/>
      <c r="D34" s="129"/>
      <c r="E34" s="130"/>
      <c r="F34" s="11" t="s">
        <v>11</v>
      </c>
      <c r="G34" s="12">
        <f t="shared" si="1"/>
        <v>10240000</v>
      </c>
      <c r="H34" s="2"/>
    </row>
    <row r="35" spans="2:8">
      <c r="B35" s="129"/>
      <c r="C35" s="145"/>
      <c r="D35" s="129"/>
      <c r="E35" s="130"/>
      <c r="F35" s="11" t="s">
        <v>18</v>
      </c>
      <c r="G35" s="12">
        <f t="shared" si="1"/>
        <v>10112000</v>
      </c>
      <c r="H35" s="2"/>
    </row>
    <row r="36" spans="2:8">
      <c r="B36" s="129"/>
      <c r="C36" s="145"/>
      <c r="D36" s="129"/>
      <c r="E36" s="130"/>
      <c r="F36" s="11" t="s">
        <v>15</v>
      </c>
      <c r="G36" s="12">
        <f t="shared" si="1"/>
        <v>10112000</v>
      </c>
      <c r="H36" s="2"/>
    </row>
    <row r="37" spans="2:8">
      <c r="B37" s="129"/>
      <c r="C37" s="145"/>
      <c r="D37" s="129"/>
      <c r="E37" s="130"/>
      <c r="F37" s="11" t="s">
        <v>16</v>
      </c>
      <c r="G37" s="12">
        <f t="shared" si="1"/>
        <v>9920000</v>
      </c>
      <c r="H37" s="2"/>
    </row>
    <row r="38" spans="2:8">
      <c r="B38" s="129"/>
      <c r="C38" s="145"/>
      <c r="D38" s="129"/>
      <c r="E38" s="130"/>
      <c r="F38" s="11" t="s">
        <v>13</v>
      </c>
      <c r="G38" s="12">
        <f t="shared" si="1"/>
        <v>9920000</v>
      </c>
      <c r="H38" s="2"/>
    </row>
    <row r="39" spans="2:8">
      <c r="B39" s="129"/>
      <c r="C39" s="145"/>
      <c r="D39" s="129"/>
      <c r="E39" s="109"/>
      <c r="F39" s="11" t="s">
        <v>12</v>
      </c>
      <c r="G39" s="12">
        <f t="shared" si="1"/>
        <v>10400000</v>
      </c>
      <c r="H39" s="2"/>
    </row>
    <row r="40" spans="2:8">
      <c r="B40" s="129"/>
      <c r="C40" s="145"/>
      <c r="D40" s="108" t="s">
        <v>86</v>
      </c>
      <c r="E40" s="121">
        <v>1</v>
      </c>
      <c r="F40" s="11" t="s">
        <v>57</v>
      </c>
      <c r="G40" s="12">
        <f>1*2*5000000/E40/C32</f>
        <v>10000000</v>
      </c>
      <c r="H40" s="2"/>
    </row>
    <row r="41" spans="2:8">
      <c r="B41" s="129"/>
      <c r="C41" s="122"/>
      <c r="D41" s="109"/>
      <c r="E41" s="122"/>
      <c r="F41" s="11" t="s">
        <v>12</v>
      </c>
      <c r="G41" s="12">
        <f>1*2*5000000/E40/C32</f>
        <v>10000000</v>
      </c>
      <c r="H41" s="2"/>
    </row>
    <row r="42" spans="2:8">
      <c r="B42" s="125" t="s">
        <v>88</v>
      </c>
      <c r="C42" s="121">
        <v>1</v>
      </c>
      <c r="D42" s="125" t="s">
        <v>85</v>
      </c>
      <c r="E42" s="119"/>
      <c r="F42" s="8" t="s">
        <v>10</v>
      </c>
      <c r="G42" s="10">
        <f t="shared" ref="G42:G48" si="2">1*4*G32/C$42</f>
        <v>40140800</v>
      </c>
      <c r="H42" s="2"/>
    </row>
    <row r="43" spans="2:8">
      <c r="B43" s="125"/>
      <c r="C43" s="145"/>
      <c r="D43" s="125"/>
      <c r="E43" s="126"/>
      <c r="F43" s="8" t="s">
        <v>14</v>
      </c>
      <c r="G43" s="10">
        <f t="shared" si="2"/>
        <v>40960000</v>
      </c>
      <c r="H43" s="2"/>
    </row>
    <row r="44" spans="2:8">
      <c r="B44" s="125"/>
      <c r="C44" s="145"/>
      <c r="D44" s="125"/>
      <c r="E44" s="126"/>
      <c r="F44" s="8" t="s">
        <v>11</v>
      </c>
      <c r="G44" s="10">
        <f t="shared" si="2"/>
        <v>40960000</v>
      </c>
      <c r="H44" s="2"/>
    </row>
    <row r="45" spans="2:8">
      <c r="B45" s="125"/>
      <c r="C45" s="145"/>
      <c r="D45" s="125"/>
      <c r="E45" s="126"/>
      <c r="F45" s="8" t="s">
        <v>18</v>
      </c>
      <c r="G45" s="10">
        <f t="shared" si="2"/>
        <v>40448000</v>
      </c>
      <c r="H45" s="2"/>
    </row>
    <row r="46" spans="2:8">
      <c r="B46" s="125"/>
      <c r="C46" s="145"/>
      <c r="D46" s="125"/>
      <c r="E46" s="126"/>
      <c r="F46" s="8" t="s">
        <v>15</v>
      </c>
      <c r="G46" s="10">
        <f t="shared" si="2"/>
        <v>40448000</v>
      </c>
      <c r="H46" s="2"/>
    </row>
    <row r="47" spans="2:8">
      <c r="B47" s="125"/>
      <c r="C47" s="145"/>
      <c r="D47" s="125"/>
      <c r="E47" s="126"/>
      <c r="F47" s="8" t="s">
        <v>16</v>
      </c>
      <c r="G47" s="10">
        <f t="shared" si="2"/>
        <v>39680000</v>
      </c>
      <c r="H47" s="2"/>
    </row>
    <row r="48" spans="2:8">
      <c r="B48" s="125"/>
      <c r="C48" s="145"/>
      <c r="D48" s="125"/>
      <c r="E48" s="126"/>
      <c r="F48" s="8" t="s">
        <v>13</v>
      </c>
      <c r="G48" s="10">
        <f t="shared" si="2"/>
        <v>39680000</v>
      </c>
      <c r="H48" s="2"/>
    </row>
    <row r="49" spans="2:8">
      <c r="B49" s="125"/>
      <c r="C49" s="145"/>
      <c r="D49" s="125"/>
      <c r="E49" s="126"/>
      <c r="F49" s="8" t="s">
        <v>12</v>
      </c>
      <c r="G49" s="10">
        <f>1*4*(G39+G41)/C$42</f>
        <v>81600000</v>
      </c>
      <c r="H49" s="2"/>
    </row>
    <row r="50" spans="2:8">
      <c r="B50" s="125"/>
      <c r="C50" s="145"/>
      <c r="D50" s="125"/>
      <c r="E50" s="126"/>
      <c r="F50" s="8" t="s">
        <v>57</v>
      </c>
      <c r="G50" s="10">
        <f>1*4*G40/C$42</f>
        <v>40000000</v>
      </c>
      <c r="H50" s="2"/>
    </row>
    <row r="51" spans="2:8">
      <c r="B51" s="125"/>
      <c r="C51" s="145"/>
      <c r="D51" s="125" t="s">
        <v>61</v>
      </c>
      <c r="E51" s="121">
        <v>1</v>
      </c>
      <c r="F51" s="8" t="s">
        <v>57</v>
      </c>
      <c r="G51" s="10">
        <f>1*2*15000000/E51/C42</f>
        <v>30000000</v>
      </c>
      <c r="H51" s="2"/>
    </row>
    <row r="52" spans="2:8">
      <c r="B52" s="125"/>
      <c r="C52" s="122"/>
      <c r="D52" s="125"/>
      <c r="E52" s="122"/>
      <c r="F52" s="8" t="s">
        <v>62</v>
      </c>
      <c r="G52" s="10">
        <f>1*2*15000000/E51/C42</f>
        <v>30000000</v>
      </c>
      <c r="H52" s="2"/>
    </row>
    <row r="53" spans="2:8">
      <c r="B53" s="129" t="s">
        <v>117</v>
      </c>
      <c r="C53" s="121">
        <v>1</v>
      </c>
      <c r="D53" s="129" t="s">
        <v>90</v>
      </c>
      <c r="E53" s="108"/>
      <c r="F53" s="11" t="s">
        <v>10</v>
      </c>
      <c r="G53" s="12">
        <f t="shared" ref="G53:G60" si="3">1*4*G42/15</f>
        <v>10704213.333333334</v>
      </c>
      <c r="H53" s="2"/>
    </row>
    <row r="54" spans="2:8">
      <c r="B54" s="129"/>
      <c r="C54" s="145"/>
      <c r="D54" s="129"/>
      <c r="E54" s="130"/>
      <c r="F54" s="11" t="s">
        <v>14</v>
      </c>
      <c r="G54" s="12">
        <f t="shared" si="3"/>
        <v>10922666.666666666</v>
      </c>
      <c r="H54" s="2"/>
    </row>
    <row r="55" spans="2:8">
      <c r="B55" s="129"/>
      <c r="C55" s="145"/>
      <c r="D55" s="129"/>
      <c r="E55" s="130"/>
      <c r="F55" s="11" t="s">
        <v>11</v>
      </c>
      <c r="G55" s="12">
        <f t="shared" si="3"/>
        <v>10922666.666666666</v>
      </c>
      <c r="H55" s="2"/>
    </row>
    <row r="56" spans="2:8">
      <c r="B56" s="129"/>
      <c r="C56" s="145"/>
      <c r="D56" s="129"/>
      <c r="E56" s="130"/>
      <c r="F56" s="11" t="s">
        <v>18</v>
      </c>
      <c r="G56" s="12">
        <f t="shared" si="3"/>
        <v>10786133.333333334</v>
      </c>
      <c r="H56" s="2"/>
    </row>
    <row r="57" spans="2:8">
      <c r="B57" s="129"/>
      <c r="C57" s="145"/>
      <c r="D57" s="129"/>
      <c r="E57" s="130"/>
      <c r="F57" s="11" t="s">
        <v>15</v>
      </c>
      <c r="G57" s="12">
        <f t="shared" si="3"/>
        <v>10786133.333333334</v>
      </c>
      <c r="H57" s="2"/>
    </row>
    <row r="58" spans="2:8">
      <c r="B58" s="129"/>
      <c r="C58" s="145"/>
      <c r="D58" s="129"/>
      <c r="E58" s="130"/>
      <c r="F58" s="11" t="s">
        <v>16</v>
      </c>
      <c r="G58" s="12">
        <f t="shared" si="3"/>
        <v>10581333.333333334</v>
      </c>
      <c r="H58" s="2"/>
    </row>
    <row r="59" spans="2:8">
      <c r="B59" s="129"/>
      <c r="C59" s="145"/>
      <c r="D59" s="129"/>
      <c r="E59" s="130"/>
      <c r="F59" s="11" t="s">
        <v>13</v>
      </c>
      <c r="G59" s="12">
        <f t="shared" si="3"/>
        <v>10581333.333333334</v>
      </c>
      <c r="H59" s="2"/>
    </row>
    <row r="60" spans="2:8">
      <c r="B60" s="129"/>
      <c r="C60" s="145"/>
      <c r="D60" s="129"/>
      <c r="E60" s="130"/>
      <c r="F60" s="11" t="s">
        <v>12</v>
      </c>
      <c r="G60" s="12">
        <f t="shared" si="3"/>
        <v>21760000</v>
      </c>
      <c r="H60" s="2"/>
    </row>
    <row r="61" spans="2:8">
      <c r="B61" s="129"/>
      <c r="C61" s="145"/>
      <c r="D61" s="129"/>
      <c r="E61" s="130"/>
      <c r="F61" s="11" t="s">
        <v>57</v>
      </c>
      <c r="G61" s="12">
        <f>1*4*(G50+G51)/15</f>
        <v>18666666.666666668</v>
      </c>
      <c r="H61" s="2"/>
    </row>
    <row r="62" spans="2:8">
      <c r="B62" s="129"/>
      <c r="C62" s="145"/>
      <c r="D62" s="129"/>
      <c r="E62" s="109"/>
      <c r="F62" s="11" t="s">
        <v>62</v>
      </c>
      <c r="G62" s="12">
        <f>1*4*G52/15</f>
        <v>8000000</v>
      </c>
      <c r="H62" s="2"/>
    </row>
    <row r="63" spans="2:8">
      <c r="B63" s="129"/>
      <c r="C63" s="145"/>
      <c r="D63" s="129" t="s">
        <v>65</v>
      </c>
      <c r="E63" s="121">
        <v>1</v>
      </c>
      <c r="F63" s="11" t="s">
        <v>66</v>
      </c>
      <c r="G63" s="12">
        <f>1*2*60000000/E63/C53</f>
        <v>120000000</v>
      </c>
      <c r="H63" s="2"/>
    </row>
    <row r="64" spans="2:8">
      <c r="B64" s="129"/>
      <c r="C64" s="122"/>
      <c r="D64" s="129"/>
      <c r="E64" s="122"/>
      <c r="F64" s="11" t="s">
        <v>62</v>
      </c>
      <c r="G64" s="12">
        <f>1*2*60000000/E63/C53</f>
        <v>120000000</v>
      </c>
      <c r="H64" s="2"/>
    </row>
    <row r="65" spans="2:8">
      <c r="B65" s="125" t="s">
        <v>118</v>
      </c>
      <c r="C65" s="121">
        <v>1</v>
      </c>
      <c r="D65" s="125" t="s">
        <v>116</v>
      </c>
      <c r="E65" s="119"/>
      <c r="F65" s="8" t="s">
        <v>10</v>
      </c>
      <c r="G65" s="10">
        <f t="shared" ref="G65:G73" si="4">1*4*G53/C$65</f>
        <v>42816853.333333336</v>
      </c>
      <c r="H65" s="2"/>
    </row>
    <row r="66" spans="2:8">
      <c r="B66" s="125"/>
      <c r="C66" s="145"/>
      <c r="D66" s="125"/>
      <c r="E66" s="126"/>
      <c r="F66" s="8" t="s">
        <v>14</v>
      </c>
      <c r="G66" s="10">
        <f t="shared" si="4"/>
        <v>43690666.666666664</v>
      </c>
      <c r="H66" s="2"/>
    </row>
    <row r="67" spans="2:8">
      <c r="B67" s="125"/>
      <c r="C67" s="145"/>
      <c r="D67" s="125"/>
      <c r="E67" s="126"/>
      <c r="F67" s="8" t="s">
        <v>11</v>
      </c>
      <c r="G67" s="10">
        <f t="shared" si="4"/>
        <v>43690666.666666664</v>
      </c>
      <c r="H67" s="2"/>
    </row>
    <row r="68" spans="2:8">
      <c r="B68" s="125"/>
      <c r="C68" s="145"/>
      <c r="D68" s="125"/>
      <c r="E68" s="126"/>
      <c r="F68" s="8" t="s">
        <v>18</v>
      </c>
      <c r="G68" s="10">
        <f t="shared" si="4"/>
        <v>43144533.333333336</v>
      </c>
      <c r="H68" s="2"/>
    </row>
    <row r="69" spans="2:8">
      <c r="B69" s="125"/>
      <c r="C69" s="145"/>
      <c r="D69" s="125"/>
      <c r="E69" s="126"/>
      <c r="F69" s="8" t="s">
        <v>15</v>
      </c>
      <c r="G69" s="10">
        <f t="shared" si="4"/>
        <v>43144533.333333336</v>
      </c>
    </row>
    <row r="70" spans="2:8">
      <c r="B70" s="125"/>
      <c r="C70" s="145"/>
      <c r="D70" s="125"/>
      <c r="E70" s="126"/>
      <c r="F70" s="8" t="s">
        <v>16</v>
      </c>
      <c r="G70" s="10">
        <f t="shared" si="4"/>
        <v>42325333.333333336</v>
      </c>
    </row>
    <row r="71" spans="2:8">
      <c r="B71" s="125"/>
      <c r="C71" s="145"/>
      <c r="D71" s="125"/>
      <c r="E71" s="126"/>
      <c r="F71" s="8" t="s">
        <v>13</v>
      </c>
      <c r="G71" s="10">
        <f t="shared" si="4"/>
        <v>42325333.333333336</v>
      </c>
    </row>
    <row r="72" spans="2:8">
      <c r="B72" s="125"/>
      <c r="C72" s="145"/>
      <c r="D72" s="125"/>
      <c r="E72" s="126"/>
      <c r="F72" s="8" t="s">
        <v>12</v>
      </c>
      <c r="G72" s="10">
        <f t="shared" si="4"/>
        <v>87040000</v>
      </c>
    </row>
    <row r="73" spans="2:8">
      <c r="B73" s="125"/>
      <c r="C73" s="145"/>
      <c r="D73" s="125"/>
      <c r="E73" s="126"/>
      <c r="F73" s="8" t="s">
        <v>57</v>
      </c>
      <c r="G73" s="10">
        <f t="shared" si="4"/>
        <v>74666666.666666672</v>
      </c>
    </row>
    <row r="74" spans="2:8">
      <c r="B74" s="125"/>
      <c r="C74" s="145"/>
      <c r="D74" s="125"/>
      <c r="E74" s="126"/>
      <c r="F74" s="8" t="s">
        <v>62</v>
      </c>
      <c r="G74" s="10">
        <f>1*4*(G62+G64)/C$65</f>
        <v>512000000</v>
      </c>
    </row>
    <row r="75" spans="2:8">
      <c r="B75" s="125"/>
      <c r="C75" s="145"/>
      <c r="D75" s="125"/>
      <c r="E75" s="126"/>
      <c r="F75" s="8" t="s">
        <v>66</v>
      </c>
      <c r="G75" s="10">
        <f>1*4*G63/C$65</f>
        <v>480000000</v>
      </c>
    </row>
    <row r="76" spans="2:8">
      <c r="B76" s="125"/>
      <c r="C76" s="145"/>
      <c r="D76" s="125" t="s">
        <v>121</v>
      </c>
      <c r="E76" s="121">
        <v>1</v>
      </c>
      <c r="F76" s="8" t="s">
        <v>122</v>
      </c>
      <c r="G76" s="10">
        <f>1*2*240000000/E76/C65</f>
        <v>480000000</v>
      </c>
    </row>
    <row r="77" spans="2:8">
      <c r="B77" s="125"/>
      <c r="C77" s="145"/>
      <c r="D77" s="125"/>
      <c r="E77" s="146"/>
      <c r="F77" s="8" t="s">
        <v>94</v>
      </c>
      <c r="G77" s="10">
        <f>1*2*240000000/E76/C65</f>
        <v>480000000</v>
      </c>
    </row>
  </sheetData>
  <mergeCells count="48">
    <mergeCell ref="B65:B77"/>
    <mergeCell ref="C65:C77"/>
    <mergeCell ref="D65:D75"/>
    <mergeCell ref="E65:E75"/>
    <mergeCell ref="D76:D77"/>
    <mergeCell ref="E76:E77"/>
    <mergeCell ref="B53:B64"/>
    <mergeCell ref="C53:C64"/>
    <mergeCell ref="D53:D62"/>
    <mergeCell ref="E53:E62"/>
    <mergeCell ref="D63:D64"/>
    <mergeCell ref="E63:E64"/>
    <mergeCell ref="B42:B52"/>
    <mergeCell ref="C42:C52"/>
    <mergeCell ref="D42:D50"/>
    <mergeCell ref="E42:E50"/>
    <mergeCell ref="D51:D52"/>
    <mergeCell ref="E51:E52"/>
    <mergeCell ref="B32:B41"/>
    <mergeCell ref="C32:C41"/>
    <mergeCell ref="D32:D39"/>
    <mergeCell ref="E32:E39"/>
    <mergeCell ref="D40:D41"/>
    <mergeCell ref="E40:E41"/>
    <mergeCell ref="B23:B31"/>
    <mergeCell ref="C23:C31"/>
    <mergeCell ref="D23:D29"/>
    <mergeCell ref="E23:E29"/>
    <mergeCell ref="D30:D31"/>
    <mergeCell ref="E30:E31"/>
    <mergeCell ref="B16:B22"/>
    <mergeCell ref="C16:C22"/>
    <mergeCell ref="D16:D20"/>
    <mergeCell ref="E16:E20"/>
    <mergeCell ref="D21:D22"/>
    <mergeCell ref="E21:E22"/>
    <mergeCell ref="B11:B15"/>
    <mergeCell ref="C11:C15"/>
    <mergeCell ref="D11:D13"/>
    <mergeCell ref="E11:E13"/>
    <mergeCell ref="D14:D15"/>
    <mergeCell ref="E14:E15"/>
    <mergeCell ref="B5:C5"/>
    <mergeCell ref="D5:E5"/>
    <mergeCell ref="B8:B10"/>
    <mergeCell ref="C8:C10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labo</vt:lpstr>
      <vt:lpstr>extra</vt:lpstr>
      <vt:lpstr>NRJ</vt:lpstr>
      <vt:lpstr>terra</vt:lpstr>
      <vt:lpstr>ind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Enfants</dc:creator>
  <cp:lastModifiedBy>Enfants</cp:lastModifiedBy>
  <dcterms:created xsi:type="dcterms:W3CDTF">2013-06-24T01:31:38Z</dcterms:created>
  <dcterms:modified xsi:type="dcterms:W3CDTF">2013-06-29T07:54:15Z</dcterms:modified>
</cp:coreProperties>
</file>