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5315" windowHeight="7995" activeTab="4"/>
  </bookViews>
  <sheets>
    <sheet name="labo" sheetId="13" r:id="rId1"/>
    <sheet name="extra" sheetId="7" r:id="rId2"/>
    <sheet name="NRJ" sheetId="11" r:id="rId3"/>
    <sheet name="terra" sheetId="4" r:id="rId4"/>
    <sheet name="ind" sheetId="12" r:id="rId5"/>
  </sheets>
  <calcPr calcId="125725"/>
</workbook>
</file>

<file path=xl/calcChain.xml><?xml version="1.0" encoding="utf-8"?>
<calcChain xmlns="http://schemas.openxmlformats.org/spreadsheetml/2006/main">
  <c r="G9" i="12"/>
  <c r="G11"/>
  <c r="G13"/>
  <c r="G15"/>
  <c r="G17"/>
  <c r="G19"/>
  <c r="G21"/>
  <c r="G23"/>
  <c r="G23" i="4"/>
  <c r="G21" s="1"/>
  <c r="G19" s="1"/>
  <c r="G17" s="1"/>
  <c r="G15" s="1"/>
  <c r="G13" s="1"/>
  <c r="G11" s="1"/>
  <c r="G9" s="1"/>
  <c r="G7" s="1"/>
  <c r="G15" i="7"/>
  <c r="G13" s="1"/>
  <c r="G11" s="1"/>
  <c r="G9" s="1"/>
  <c r="G17"/>
  <c r="G19"/>
  <c r="G21"/>
  <c r="G23"/>
  <c r="G23" i="13"/>
  <c r="G21" s="1"/>
  <c r="G19" s="1"/>
  <c r="G17" s="1"/>
  <c r="G15" s="1"/>
  <c r="G13" s="1"/>
  <c r="G11" s="1"/>
  <c r="G9" s="1"/>
  <c r="G23" i="11"/>
  <c r="G21" s="1"/>
  <c r="G19" s="1"/>
  <c r="G17" s="1"/>
  <c r="G15" s="1"/>
  <c r="G13" s="1"/>
  <c r="G11" s="1"/>
  <c r="G9" s="1"/>
  <c r="G24" i="12"/>
  <c r="J18" s="1"/>
  <c r="G22"/>
  <c r="G20"/>
  <c r="G18"/>
  <c r="G16"/>
  <c r="J14" s="1"/>
  <c r="G14"/>
  <c r="J12" s="1"/>
  <c r="G12"/>
  <c r="J11" s="1"/>
  <c r="G10"/>
  <c r="G7"/>
  <c r="J8" s="1"/>
  <c r="G24" i="4"/>
  <c r="G22"/>
  <c r="J17" s="1"/>
  <c r="G18"/>
  <c r="G14"/>
  <c r="G10"/>
  <c r="J8" s="1"/>
  <c r="G24" i="11"/>
  <c r="G22"/>
  <c r="G24" i="7"/>
  <c r="G24" i="13"/>
  <c r="G22"/>
  <c r="J16" i="12"/>
  <c r="J17"/>
  <c r="J15"/>
  <c r="J13"/>
  <c r="J9"/>
  <c r="J18" i="4"/>
  <c r="J19" i="7"/>
  <c r="G22"/>
  <c r="J20" i="13"/>
  <c r="J21" i="11"/>
  <c r="J10" i="12" l="1"/>
  <c r="J7"/>
  <c r="J19"/>
  <c r="G12" i="4"/>
  <c r="J9" s="1"/>
  <c r="G16"/>
  <c r="G20"/>
  <c r="J15" s="1"/>
  <c r="J13"/>
  <c r="G20" i="7"/>
  <c r="J16" s="1"/>
  <c r="G20" i="11"/>
  <c r="G20" i="13"/>
  <c r="J11" i="4"/>
  <c r="J16"/>
  <c r="J7"/>
  <c r="J12"/>
  <c r="J19"/>
  <c r="J21" i="13"/>
  <c r="J17" i="7"/>
  <c r="J18"/>
  <c r="J22" i="11"/>
  <c r="J14" i="4" l="1"/>
  <c r="J10"/>
  <c r="G18" i="7"/>
  <c r="J15" s="1"/>
  <c r="G18" i="11"/>
  <c r="G18" i="13"/>
  <c r="J17" s="1"/>
  <c r="J19"/>
  <c r="J18"/>
  <c r="J17" i="11"/>
  <c r="J18"/>
  <c r="J19"/>
  <c r="J20"/>
  <c r="G16" i="7" l="1"/>
  <c r="J12" s="1"/>
  <c r="G16" i="11"/>
  <c r="G16" i="13"/>
  <c r="J16" i="11"/>
  <c r="J16" i="13"/>
  <c r="G14" i="7" l="1"/>
  <c r="J14" s="1"/>
  <c r="G12"/>
  <c r="G14" i="11"/>
  <c r="J13" s="1"/>
  <c r="G14" i="13"/>
  <c r="J15" i="11"/>
  <c r="J13" i="7"/>
  <c r="J14" i="11"/>
  <c r="J15" i="13"/>
  <c r="J14"/>
  <c r="J11" i="7" l="1"/>
  <c r="G7"/>
  <c r="G10"/>
  <c r="G12" i="11"/>
  <c r="G12" i="13"/>
  <c r="J12" i="11"/>
  <c r="J12" i="13"/>
  <c r="J13"/>
  <c r="G7" i="11" l="1"/>
  <c r="G10"/>
  <c r="G7" i="13"/>
  <c r="G10"/>
  <c r="J10" s="1"/>
  <c r="J10" i="7"/>
  <c r="J11" i="13"/>
  <c r="J9" i="7"/>
  <c r="J11" i="11"/>
  <c r="J9" i="13" l="1"/>
  <c r="J7"/>
  <c r="J8" i="7"/>
  <c r="J7"/>
  <c r="J9" i="11" l="1"/>
  <c r="J10"/>
  <c r="J8"/>
  <c r="J7"/>
</calcChain>
</file>

<file path=xl/sharedStrings.xml><?xml version="1.0" encoding="utf-8"?>
<sst xmlns="http://schemas.openxmlformats.org/spreadsheetml/2006/main" count="314" uniqueCount="149">
  <si>
    <t>Hepta cola</t>
  </si>
  <si>
    <t>droïde multifonction</t>
  </si>
  <si>
    <t>Bloc de retraitement (20/min)</t>
  </si>
  <si>
    <t>Synthétiseur de protéines (48/min)</t>
  </si>
  <si>
    <t>Ferme hydroponique (100/min)</t>
  </si>
  <si>
    <t>K-Bot (210/min)</t>
  </si>
  <si>
    <t>Ferme aquaponique  (430/min)</t>
  </si>
  <si>
    <t>Boost nécéssaire</t>
  </si>
  <si>
    <t>Matière première</t>
  </si>
  <si>
    <t>eau pure</t>
  </si>
  <si>
    <t>glace</t>
  </si>
  <si>
    <t>nox</t>
  </si>
  <si>
    <t>cristal</t>
  </si>
  <si>
    <t>pyroxite</t>
  </si>
  <si>
    <t>heptanium</t>
  </si>
  <si>
    <t>adamanthe</t>
  </si>
  <si>
    <t>andium</t>
  </si>
  <si>
    <t>isogène</t>
  </si>
  <si>
    <t>iridium</t>
  </si>
  <si>
    <t>microfiltre</t>
  </si>
  <si>
    <t>combustible HOX</t>
  </si>
  <si>
    <t>bloc de retraitement</t>
  </si>
  <si>
    <t>synthétiseur de protéines</t>
  </si>
  <si>
    <t>servo-transmetteur</t>
  </si>
  <si>
    <t>k-bot</t>
  </si>
  <si>
    <t>aramide</t>
  </si>
  <si>
    <t>plastacier</t>
  </si>
  <si>
    <t>protofer</t>
  </si>
  <si>
    <t>Nom</t>
  </si>
  <si>
    <t>Boost</t>
  </si>
  <si>
    <t xml:space="preserve"> </t>
  </si>
  <si>
    <t>Niv</t>
  </si>
  <si>
    <t>Niv = Niveau de la technologie</t>
  </si>
  <si>
    <t>ferme hydroponique</t>
  </si>
  <si>
    <t>Analyseur de spectre (10/min)</t>
  </si>
  <si>
    <t>Découpeuse à faisseaux (24/min)</t>
  </si>
  <si>
    <t>Stabilisateur antigrav (52/min)</t>
  </si>
  <si>
    <t>nano-transistor</t>
  </si>
  <si>
    <t>découpeuse à faisseaux</t>
  </si>
  <si>
    <t>cellule anti-rad</t>
  </si>
  <si>
    <t>stabilisateur antigrav</t>
  </si>
  <si>
    <t>Découpeuse à plasma (210/min)</t>
  </si>
  <si>
    <t>plasmoïde</t>
  </si>
  <si>
    <t>Analyseur de spectre</t>
  </si>
  <si>
    <t>LES BOOST LABORATOIRES</t>
  </si>
  <si>
    <t>Hepta cola (15/min)</t>
  </si>
  <si>
    <t>Droïde multifonction (36/min)</t>
  </si>
  <si>
    <t>Support Holo</t>
  </si>
  <si>
    <t>Simulateur subatomique (78/min)</t>
  </si>
  <si>
    <t>xenodium</t>
  </si>
  <si>
    <t>Psychiks (160/min)</t>
  </si>
  <si>
    <t>simulateur subatomique</t>
  </si>
  <si>
    <t>Implant cerebral (210/min)</t>
  </si>
  <si>
    <t>psychiks</t>
  </si>
  <si>
    <t>Ordinateur quantique (630/min)</t>
  </si>
  <si>
    <t>implant cerebral</t>
  </si>
  <si>
    <t>condensat</t>
  </si>
  <si>
    <t>exodyne</t>
  </si>
  <si>
    <t>dunite</t>
  </si>
  <si>
    <t>ordinateur quantique</t>
  </si>
  <si>
    <t>Symbiote (1200/min)</t>
  </si>
  <si>
    <t>Biopolymère</t>
  </si>
  <si>
    <t>biomatériaux</t>
  </si>
  <si>
    <t>symbiote</t>
  </si>
  <si>
    <t>Sphère de connaissance (2300/min)</t>
  </si>
  <si>
    <t>ADN polymorphe</t>
  </si>
  <si>
    <t>méline</t>
  </si>
  <si>
    <t>sphère de connaissance</t>
  </si>
  <si>
    <t>Réseau de connaissance (4400/min)</t>
  </si>
  <si>
    <t>gravitons</t>
  </si>
  <si>
    <t>thorium alpha</t>
  </si>
  <si>
    <t>antimatière</t>
  </si>
  <si>
    <t>analyseur géodésique</t>
  </si>
  <si>
    <t>Analyseur géodésique (110/min)</t>
  </si>
  <si>
    <t>Excavatrice spatiale (420/min)</t>
  </si>
  <si>
    <t>découpeuse à plasma</t>
  </si>
  <si>
    <t>tritanium</t>
  </si>
  <si>
    <t>Découpeuse endothermique (810/min)</t>
  </si>
  <si>
    <t>Protorésine</t>
  </si>
  <si>
    <t>arkenite</t>
  </si>
  <si>
    <t>Excavatrice à distorsions (1600/min)</t>
  </si>
  <si>
    <t>découpeuse endothermique</t>
  </si>
  <si>
    <t>nanites</t>
  </si>
  <si>
    <t>Tunnelier spatial (2900/min)</t>
  </si>
  <si>
    <t>Quantité</t>
  </si>
  <si>
    <t>recycleur planétaire</t>
  </si>
  <si>
    <t>cristal énergetique</t>
  </si>
  <si>
    <t>ferme aquaponique</t>
  </si>
  <si>
    <t>Arcologie (1600/min)</t>
  </si>
  <si>
    <t>Recycleur planétaire (840/min)</t>
  </si>
  <si>
    <t>arcologie</t>
  </si>
  <si>
    <t>composés fibreux</t>
  </si>
  <si>
    <t>dôme Eden</t>
  </si>
  <si>
    <t>thorium pur ??</t>
  </si>
  <si>
    <t>thorium zeta</t>
  </si>
  <si>
    <t>Fertilisant (20/min)</t>
  </si>
  <si>
    <t>fertilisant</t>
  </si>
  <si>
    <t>Banque de génome (48/min)</t>
  </si>
  <si>
    <t>banque de génome</t>
  </si>
  <si>
    <t>support holo</t>
  </si>
  <si>
    <t>Unité d'écomodification (100/min)</t>
  </si>
  <si>
    <t>unité d'écomodification</t>
  </si>
  <si>
    <t>iridium enrichi</t>
  </si>
  <si>
    <t>Générateur d'ozone (210/min)</t>
  </si>
  <si>
    <t>générateur d'ozone</t>
  </si>
  <si>
    <t>stabilisateur thermique</t>
  </si>
  <si>
    <t>Régulateur climatique  (430/min)</t>
  </si>
  <si>
    <t>régulateur climatique</t>
  </si>
  <si>
    <t>ferrogène</t>
  </si>
  <si>
    <t>puit de biomasse</t>
  </si>
  <si>
    <t>Puit de biomasse (840/min)</t>
  </si>
  <si>
    <t>Générateur de biosphère (1600/min)</t>
  </si>
  <si>
    <t>générateur de biosphère</t>
  </si>
  <si>
    <t>enzyme de synthèse</t>
  </si>
  <si>
    <t>constructeur organique</t>
  </si>
  <si>
    <t>Constructeur organique (3100/min)</t>
  </si>
  <si>
    <t>Replicateur (5900/min)</t>
  </si>
  <si>
    <t>Contrôleur Gaïa (5900/min)</t>
  </si>
  <si>
    <t>Dôme Eden (3100/min)</t>
  </si>
  <si>
    <t>Neutronium</t>
  </si>
  <si>
    <t>Micro-réacteurs (10/min)</t>
  </si>
  <si>
    <t>supraconducteur</t>
  </si>
  <si>
    <t>micro-réacteurs</t>
  </si>
  <si>
    <t>réactif Nova</t>
  </si>
  <si>
    <t>Génératrice à impulsion (24/min)</t>
  </si>
  <si>
    <t>génératrice à impulsion</t>
  </si>
  <si>
    <t>Réacteur à matrice (52/min)</t>
  </si>
  <si>
    <t>réacteur à matrice</t>
  </si>
  <si>
    <t>Pile à fusion (110/min)</t>
  </si>
  <si>
    <t>pile à fusion</t>
  </si>
  <si>
    <t>Réacteur gravifique (210/min)</t>
  </si>
  <si>
    <t>réacteur gravifique</t>
  </si>
  <si>
    <t>Grille énergétique (420/min)</t>
  </si>
  <si>
    <t>grille énergétique</t>
  </si>
  <si>
    <t>cristal énergétique</t>
  </si>
  <si>
    <t>Cellule Tesla (810/min)</t>
  </si>
  <si>
    <t>Cœur stellaire (1600/min)</t>
  </si>
  <si>
    <t>cœur stellaire</t>
  </si>
  <si>
    <t>cellule Tesla</t>
  </si>
  <si>
    <t>Trou noir artificiel (2900/min)</t>
  </si>
  <si>
    <t>neutronium</t>
  </si>
  <si>
    <t>J'en veux :</t>
  </si>
  <si>
    <t>excavatrice spatiale</t>
  </si>
  <si>
    <t>excavatrice à distorsions</t>
  </si>
  <si>
    <t>LES BOOST EXTRACTEURS ENERGETIQUES</t>
  </si>
  <si>
    <t>LES BOOST EXTRACTEURS EXTRACTION</t>
  </si>
  <si>
    <t>LES BOOST COLONIES INDUSTRIALISATION</t>
  </si>
  <si>
    <t>En vert vos variables, une seule case orange doit être différente de 0 (J'en veux : …).</t>
  </si>
  <si>
    <t>LES BOOST COLONIES TERRAFORMATION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</si>
</sst>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C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5E6F1"/>
        <bgColor indexed="64"/>
      </patternFill>
    </fill>
    <fill>
      <patternFill patternType="solid">
        <fgColor rgb="FFF8A764"/>
        <bgColor indexed="64"/>
      </patternFill>
    </fill>
  </fills>
  <borders count="1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center" vertical="top"/>
    </xf>
    <xf numFmtId="2" fontId="0" fillId="0" borderId="0" xfId="0" applyNumberFormat="1" applyFill="1" applyAlignment="1">
      <alignment vertical="top"/>
    </xf>
    <xf numFmtId="0" fontId="0" fillId="0" borderId="0" xfId="0" applyFill="1" applyAlignment="1">
      <alignment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vertical="top"/>
    </xf>
    <xf numFmtId="0" fontId="1" fillId="0" borderId="0" xfId="0" applyFont="1" applyAlignment="1">
      <alignment horizontal="left" vertical="top"/>
    </xf>
    <xf numFmtId="0" fontId="0" fillId="4" borderId="7" xfId="0" applyFill="1" applyBorder="1" applyAlignment="1">
      <alignment horizontal="right" vertical="top"/>
    </xf>
    <xf numFmtId="0" fontId="0" fillId="2" borderId="5" xfId="0" applyFill="1" applyBorder="1" applyAlignment="1">
      <alignment vertical="top"/>
    </xf>
    <xf numFmtId="0" fontId="0" fillId="2" borderId="6" xfId="0" applyFill="1" applyBorder="1" applyAlignment="1">
      <alignment vertical="top"/>
    </xf>
    <xf numFmtId="0" fontId="0" fillId="2" borderId="9" xfId="0" applyFill="1" applyBorder="1" applyAlignment="1">
      <alignment horizontal="right" vertical="top"/>
    </xf>
    <xf numFmtId="0" fontId="0" fillId="2" borderId="10" xfId="0" applyFill="1" applyBorder="1" applyAlignment="1">
      <alignment vertical="top"/>
    </xf>
    <xf numFmtId="0" fontId="0" fillId="4" borderId="6" xfId="0" applyFill="1" applyBorder="1" applyAlignment="1">
      <alignment vertical="top"/>
    </xf>
    <xf numFmtId="0" fontId="0" fillId="4" borderId="9" xfId="0" applyFill="1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0" fontId="0" fillId="2" borderId="2" xfId="0" applyFill="1" applyBorder="1" applyAlignment="1">
      <alignment vertical="top"/>
    </xf>
    <xf numFmtId="0" fontId="0" fillId="2" borderId="2" xfId="0" applyNumberFormat="1" applyFill="1" applyBorder="1" applyAlignment="1">
      <alignment vertical="top"/>
    </xf>
    <xf numFmtId="0" fontId="0" fillId="4" borderId="5" xfId="0" applyFill="1" applyBorder="1" applyAlignment="1">
      <alignment vertical="top"/>
    </xf>
    <xf numFmtId="0" fontId="0" fillId="0" borderId="1" xfId="0" applyBorder="1" applyAlignment="1">
      <alignment vertical="top"/>
    </xf>
    <xf numFmtId="0" fontId="3" fillId="0" borderId="0" xfId="0" applyFont="1" applyAlignment="1">
      <alignment vertical="top"/>
    </xf>
    <xf numFmtId="3" fontId="0" fillId="0" borderId="0" xfId="0" applyNumberFormat="1" applyAlignment="1">
      <alignment horizontal="center" vertical="top"/>
    </xf>
    <xf numFmtId="3" fontId="0" fillId="0" borderId="1" xfId="0" applyNumberFormat="1" applyBorder="1" applyAlignment="1">
      <alignment horizontal="center" vertical="top"/>
    </xf>
    <xf numFmtId="3" fontId="1" fillId="0" borderId="0" xfId="0" applyNumberFormat="1" applyFont="1" applyAlignment="1">
      <alignment horizontal="right" vertical="top"/>
    </xf>
    <xf numFmtId="3" fontId="1" fillId="0" borderId="0" xfId="0" applyNumberFormat="1" applyFont="1" applyAlignment="1">
      <alignment horizontal="left" vertical="top"/>
    </xf>
    <xf numFmtId="0" fontId="0" fillId="4" borderId="14" xfId="0" applyFill="1" applyBorder="1" applyAlignment="1">
      <alignment vertical="top"/>
    </xf>
    <xf numFmtId="0" fontId="0" fillId="2" borderId="14" xfId="0" applyFill="1" applyBorder="1" applyAlignment="1">
      <alignment vertical="top"/>
    </xf>
    <xf numFmtId="3" fontId="0" fillId="2" borderId="2" xfId="0" applyNumberFormat="1" applyFill="1" applyBorder="1" applyAlignment="1">
      <alignment horizontal="center" vertical="top"/>
    </xf>
    <xf numFmtId="0" fontId="0" fillId="6" borderId="15" xfId="0" applyFill="1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4" borderId="5" xfId="0" applyFill="1" applyBorder="1" applyAlignment="1">
      <alignment vertical="top"/>
    </xf>
    <xf numFmtId="0" fontId="0" fillId="4" borderId="2" xfId="0" applyFill="1" applyBorder="1" applyAlignment="1">
      <alignment vertical="top"/>
    </xf>
    <xf numFmtId="3" fontId="1" fillId="0" borderId="0" xfId="0" applyNumberFormat="1" applyFont="1" applyAlignment="1">
      <alignment horizontal="center" vertical="top"/>
    </xf>
    <xf numFmtId="1" fontId="1" fillId="0" borderId="0" xfId="0" applyNumberFormat="1" applyFont="1" applyAlignment="1">
      <alignment horizontal="right" vertical="top"/>
    </xf>
    <xf numFmtId="1" fontId="0" fillId="0" borderId="0" xfId="0" applyNumberFormat="1" applyAlignment="1">
      <alignment horizontal="center" vertical="top"/>
    </xf>
    <xf numFmtId="1" fontId="0" fillId="0" borderId="1" xfId="0" applyNumberFormat="1" applyBorder="1" applyAlignment="1">
      <alignment horizontal="center" vertical="top"/>
    </xf>
    <xf numFmtId="0" fontId="0" fillId="0" borderId="14" xfId="0" applyBorder="1" applyAlignment="1">
      <alignment vertical="top"/>
    </xf>
    <xf numFmtId="1" fontId="0" fillId="0" borderId="9" xfId="0" applyNumberFormat="1" applyFill="1" applyBorder="1" applyAlignment="1">
      <alignment horizontal="center" vertical="top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4" xfId="0" applyFill="1" applyBorder="1" applyAlignment="1">
      <alignment vertical="top"/>
    </xf>
    <xf numFmtId="3" fontId="0" fillId="0" borderId="4" xfId="0" applyNumberFormat="1" applyFill="1" applyBorder="1" applyAlignment="1">
      <alignment horizontal="center" vertical="top"/>
    </xf>
    <xf numFmtId="3" fontId="0" fillId="0" borderId="9" xfId="0" applyNumberFormat="1" applyFill="1" applyBorder="1" applyAlignment="1">
      <alignment horizontal="center" vertical="top"/>
    </xf>
    <xf numFmtId="3" fontId="0" fillId="0" borderId="4" xfId="0" applyNumberFormat="1" applyFill="1" applyBorder="1" applyAlignment="1">
      <alignment vertical="top"/>
    </xf>
    <xf numFmtId="0" fontId="0" fillId="6" borderId="10" xfId="0" applyFill="1" applyBorder="1" applyAlignment="1">
      <alignment horizontal="center" vertical="top"/>
    </xf>
    <xf numFmtId="0" fontId="0" fillId="6" borderId="8" xfId="0" applyFill="1" applyBorder="1" applyAlignment="1">
      <alignment horizontal="center" vertical="top"/>
    </xf>
    <xf numFmtId="0" fontId="0" fillId="0" borderId="1" xfId="0" applyBorder="1" applyAlignment="1">
      <alignment vertical="top"/>
    </xf>
    <xf numFmtId="3" fontId="0" fillId="5" borderId="2" xfId="0" applyNumberFormat="1" applyFill="1" applyBorder="1" applyAlignment="1">
      <alignment horizontal="center" vertical="top"/>
    </xf>
    <xf numFmtId="0" fontId="0" fillId="5" borderId="1" xfId="0" applyFill="1" applyBorder="1" applyAlignment="1">
      <alignment vertical="top"/>
    </xf>
    <xf numFmtId="3" fontId="0" fillId="5" borderId="1" xfId="0" applyNumberFormat="1" applyFill="1" applyBorder="1" applyAlignment="1">
      <alignment horizontal="center" vertical="top"/>
    </xf>
    <xf numFmtId="0" fontId="0" fillId="5" borderId="2" xfId="0" applyFill="1" applyBorder="1" applyAlignment="1">
      <alignment vertical="top"/>
    </xf>
    <xf numFmtId="0" fontId="0" fillId="3" borderId="1" xfId="0" applyFill="1" applyBorder="1" applyAlignment="1">
      <alignment horizontal="center" vertical="top"/>
    </xf>
    <xf numFmtId="0" fontId="0" fillId="2" borderId="2" xfId="0" applyFill="1" applyBorder="1" applyAlignment="1">
      <alignment vertical="top"/>
    </xf>
    <xf numFmtId="3" fontId="0" fillId="2" borderId="2" xfId="0" applyNumberFormat="1" applyFill="1" applyBorder="1" applyAlignment="1">
      <alignment horizontal="center" vertical="top"/>
    </xf>
    <xf numFmtId="0" fontId="0" fillId="4" borderId="5" xfId="0" applyFill="1" applyBorder="1" applyAlignment="1">
      <alignment vertical="top"/>
    </xf>
    <xf numFmtId="0" fontId="0" fillId="0" borderId="14" xfId="0" applyBorder="1" applyAlignment="1">
      <alignment vertical="top"/>
    </xf>
    <xf numFmtId="0" fontId="0" fillId="4" borderId="2" xfId="0" applyFill="1" applyBorder="1" applyAlignment="1">
      <alignment vertical="top"/>
    </xf>
    <xf numFmtId="0" fontId="0" fillId="4" borderId="3" xfId="0" applyFill="1" applyBorder="1" applyAlignment="1">
      <alignment vertical="top"/>
    </xf>
    <xf numFmtId="0" fontId="0" fillId="3" borderId="2" xfId="0" applyFill="1" applyBorder="1" applyAlignment="1">
      <alignment horizontal="center" vertical="top"/>
    </xf>
    <xf numFmtId="3" fontId="0" fillId="5" borderId="2" xfId="0" applyNumberFormat="1" applyFill="1" applyBorder="1" applyAlignment="1">
      <alignment horizontal="center" vertical="top"/>
    </xf>
    <xf numFmtId="3" fontId="0" fillId="5" borderId="3" xfId="0" applyNumberFormat="1" applyFill="1" applyBorder="1" applyAlignment="1">
      <alignment horizontal="center" vertical="top"/>
    </xf>
    <xf numFmtId="0" fontId="0" fillId="4" borderId="1" xfId="0" applyFill="1" applyBorder="1" applyAlignment="1">
      <alignment vertical="top"/>
    </xf>
    <xf numFmtId="0" fontId="0" fillId="2" borderId="1" xfId="0" applyFill="1" applyBorder="1" applyAlignment="1">
      <alignment vertical="top"/>
    </xf>
    <xf numFmtId="0" fontId="0" fillId="2" borderId="2" xfId="0" applyNumberFormat="1" applyFill="1" applyBorder="1" applyAlignment="1">
      <alignment vertical="top"/>
    </xf>
    <xf numFmtId="0" fontId="0" fillId="5" borderId="2" xfId="0" applyFill="1" applyBorder="1" applyAlignment="1">
      <alignment vertical="top"/>
    </xf>
    <xf numFmtId="0" fontId="0" fillId="5" borderId="3" xfId="0" applyFill="1" applyBorder="1" applyAlignment="1">
      <alignment vertical="top"/>
    </xf>
    <xf numFmtId="3" fontId="0" fillId="5" borderId="2" xfId="0" applyNumberFormat="1" applyFill="1" applyBorder="1" applyAlignment="1">
      <alignment horizontal="center" vertical="top"/>
    </xf>
    <xf numFmtId="3" fontId="0" fillId="5" borderId="3" xfId="0" applyNumberFormat="1" applyFill="1" applyBorder="1" applyAlignment="1">
      <alignment horizontal="center" vertical="top"/>
    </xf>
    <xf numFmtId="3" fontId="0" fillId="2" borderId="2" xfId="0" applyNumberFormat="1" applyFill="1" applyBorder="1" applyAlignment="1">
      <alignment horizontal="center" vertical="top"/>
    </xf>
    <xf numFmtId="0" fontId="0" fillId="2" borderId="2" xfId="0" applyFill="1" applyBorder="1" applyAlignment="1">
      <alignment vertical="top"/>
    </xf>
    <xf numFmtId="0" fontId="0" fillId="3" borderId="1" xfId="0" applyFill="1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4" borderId="1" xfId="0" applyFill="1" applyBorder="1" applyAlignment="1">
      <alignment vertical="top"/>
    </xf>
    <xf numFmtId="0" fontId="0" fillId="4" borderId="2" xfId="0" applyFill="1" applyBorder="1" applyAlignment="1">
      <alignment vertical="top"/>
    </xf>
    <xf numFmtId="0" fontId="0" fillId="4" borderId="3" xfId="0" applyFill="1" applyBorder="1" applyAlignment="1">
      <alignment vertical="top"/>
    </xf>
    <xf numFmtId="0" fontId="0" fillId="2" borderId="1" xfId="0" applyFill="1" applyBorder="1" applyAlignment="1">
      <alignment vertical="top"/>
    </xf>
    <xf numFmtId="0" fontId="0" fillId="0" borderId="1" xfId="0" applyBorder="1" applyAlignment="1">
      <alignment horizontal="left" vertical="top"/>
    </xf>
    <xf numFmtId="0" fontId="0" fillId="4" borderId="5" xfId="0" applyFill="1" applyBorder="1" applyAlignment="1">
      <alignment vertical="top"/>
    </xf>
    <xf numFmtId="0" fontId="0" fillId="0" borderId="14" xfId="0" applyBorder="1" applyAlignment="1">
      <alignment vertical="top"/>
    </xf>
    <xf numFmtId="0" fontId="0" fillId="3" borderId="2" xfId="0" applyFill="1" applyBorder="1" applyAlignment="1">
      <alignment horizontal="center" vertical="top"/>
    </xf>
    <xf numFmtId="1" fontId="0" fillId="2" borderId="2" xfId="0" applyNumberFormat="1" applyFill="1" applyBorder="1" applyAlignment="1">
      <alignment horizontal="center" vertical="top"/>
    </xf>
    <xf numFmtId="1" fontId="0" fillId="5" borderId="2" xfId="0" applyNumberFormat="1" applyFill="1" applyBorder="1" applyAlignment="1">
      <alignment horizontal="center" vertical="top"/>
    </xf>
    <xf numFmtId="0" fontId="0" fillId="2" borderId="2" xfId="0" applyNumberFormat="1" applyFill="1" applyBorder="1" applyAlignment="1">
      <alignment vertical="top"/>
    </xf>
    <xf numFmtId="3" fontId="0" fillId="5" borderId="2" xfId="0" applyNumberFormat="1" applyFont="1" applyFill="1" applyBorder="1" applyAlignment="1">
      <alignment horizontal="center" vertical="top"/>
    </xf>
    <xf numFmtId="3" fontId="0" fillId="0" borderId="0" xfId="0" applyNumberFormat="1" applyFill="1" applyBorder="1" applyAlignment="1">
      <alignment horizontal="center" vertical="top"/>
    </xf>
    <xf numFmtId="3" fontId="0" fillId="0" borderId="0" xfId="0" applyNumberFormat="1" applyBorder="1" applyAlignment="1">
      <alignment horizontal="center" vertical="top"/>
    </xf>
    <xf numFmtId="3" fontId="0" fillId="0" borderId="14" xfId="0" applyNumberFormat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2" xfId="0" applyBorder="1" applyAlignment="1">
      <alignment vertical="top"/>
    </xf>
    <xf numFmtId="0" fontId="0" fillId="0" borderId="11" xfId="0" applyBorder="1" applyAlignment="1">
      <alignment vertical="top"/>
    </xf>
    <xf numFmtId="0" fontId="0" fillId="4" borderId="5" xfId="0" applyFill="1" applyBorder="1" applyAlignment="1">
      <alignment vertical="top"/>
    </xf>
    <xf numFmtId="0" fontId="0" fillId="0" borderId="14" xfId="0" applyBorder="1" applyAlignment="1">
      <alignment vertical="top"/>
    </xf>
    <xf numFmtId="0" fontId="0" fillId="4" borderId="2" xfId="0" applyFill="1" applyBorder="1" applyAlignment="1">
      <alignment vertical="top"/>
    </xf>
    <xf numFmtId="0" fontId="0" fillId="4" borderId="3" xfId="0" applyFill="1" applyBorder="1" applyAlignment="1">
      <alignment vertical="top"/>
    </xf>
    <xf numFmtId="0" fontId="0" fillId="3" borderId="2" xfId="0" applyFill="1" applyBorder="1" applyAlignment="1">
      <alignment horizontal="center" vertical="top"/>
    </xf>
    <xf numFmtId="0" fontId="0" fillId="0" borderId="3" xfId="0" applyBorder="1" applyAlignment="1">
      <alignment vertical="top"/>
    </xf>
    <xf numFmtId="3" fontId="0" fillId="5" borderId="2" xfId="0" applyNumberFormat="1" applyFill="1" applyBorder="1" applyAlignment="1">
      <alignment horizontal="center" vertical="top"/>
    </xf>
    <xf numFmtId="3" fontId="0" fillId="5" borderId="3" xfId="0" applyNumberFormat="1" applyFill="1" applyBorder="1" applyAlignment="1">
      <alignment horizontal="center" vertical="top"/>
    </xf>
    <xf numFmtId="1" fontId="0" fillId="5" borderId="2" xfId="0" applyNumberFormat="1" applyFill="1" applyBorder="1" applyAlignment="1">
      <alignment horizontal="center" vertical="top"/>
    </xf>
    <xf numFmtId="0" fontId="0" fillId="0" borderId="12" xfId="0" applyBorder="1" applyAlignment="1">
      <alignment horizontal="left" vertical="top"/>
    </xf>
    <xf numFmtId="0" fontId="0" fillId="0" borderId="6" xfId="0" applyBorder="1" applyAlignment="1">
      <alignment vertical="top"/>
    </xf>
    <xf numFmtId="1" fontId="0" fillId="0" borderId="0" xfId="0" applyNumberFormat="1" applyFill="1" applyBorder="1" applyAlignment="1">
      <alignment horizontal="center" vertical="top"/>
    </xf>
    <xf numFmtId="1" fontId="0" fillId="0" borderId="14" xfId="0" applyNumberFormat="1" applyBorder="1" applyAlignment="1">
      <alignment horizontal="center" vertical="top"/>
    </xf>
    <xf numFmtId="1" fontId="0" fillId="0" borderId="14" xfId="0" applyNumberFormat="1" applyFill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4" borderId="0" xfId="0" applyFill="1" applyAlignment="1">
      <alignment vertical="top"/>
    </xf>
    <xf numFmtId="0" fontId="0" fillId="2" borderId="0" xfId="0" applyFill="1" applyAlignment="1">
      <alignment vertical="top"/>
    </xf>
    <xf numFmtId="0" fontId="0" fillId="2" borderId="1" xfId="0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5E6F1"/>
      <color rgb="FFF8A764"/>
      <color rgb="FFB0DD7F"/>
      <color rgb="FF83C937"/>
      <color rgb="FFFDEDDF"/>
      <color rgb="FFFEF6F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35"/>
  <sheetViews>
    <sheetView workbookViewId="0">
      <selection activeCell="G9" sqref="G9"/>
    </sheetView>
  </sheetViews>
  <sheetFormatPr baseColWidth="10" defaultRowHeight="15"/>
  <cols>
    <col min="1" max="1" width="1.5703125" style="1" customWidth="1"/>
    <col min="2" max="2" width="27.7109375" style="1" customWidth="1"/>
    <col min="3" max="3" width="4.5703125" style="1" customWidth="1"/>
    <col min="4" max="4" width="4" style="2" bestFit="1" customWidth="1"/>
    <col min="5" max="5" width="23.5703125" style="1" customWidth="1"/>
    <col min="6" max="6" width="4" style="2" customWidth="1"/>
    <col min="7" max="7" width="25.5703125" style="25" customWidth="1"/>
    <col min="8" max="8" width="2.42578125" style="25" customWidth="1"/>
    <col min="9" max="9" width="13.85546875" style="1" customWidth="1"/>
    <col min="10" max="10" width="30.7109375" style="2" customWidth="1"/>
    <col min="11" max="11" width="25.42578125" style="1" customWidth="1"/>
    <col min="12" max="12" width="8.5703125" style="1" customWidth="1"/>
    <col min="13" max="16384" width="11.42578125" style="1"/>
  </cols>
  <sheetData>
    <row r="1" spans="2:10">
      <c r="B1" s="1" t="s">
        <v>30</v>
      </c>
      <c r="E1" s="11"/>
      <c r="G1" s="28" t="s">
        <v>44</v>
      </c>
      <c r="H1" s="28"/>
    </row>
    <row r="2" spans="2:10">
      <c r="E2" s="3"/>
    </row>
    <row r="3" spans="2:10">
      <c r="B3" s="24" t="s">
        <v>147</v>
      </c>
      <c r="C3" s="4"/>
      <c r="I3" s="5" t="s">
        <v>32</v>
      </c>
    </row>
    <row r="5" spans="2:10">
      <c r="B5" s="94" t="s">
        <v>29</v>
      </c>
      <c r="C5" s="94"/>
      <c r="D5" s="94"/>
      <c r="E5" s="95" t="s">
        <v>7</v>
      </c>
      <c r="F5" s="96"/>
      <c r="G5" s="97"/>
      <c r="H5" s="45"/>
      <c r="I5" s="81" t="s">
        <v>8</v>
      </c>
      <c r="J5" s="81"/>
    </row>
    <row r="6" spans="2:10">
      <c r="B6" s="98" t="s">
        <v>28</v>
      </c>
      <c r="C6" s="97"/>
      <c r="D6" s="6" t="s">
        <v>31</v>
      </c>
      <c r="E6" s="23" t="s">
        <v>28</v>
      </c>
      <c r="F6" s="6" t="s">
        <v>31</v>
      </c>
      <c r="G6" s="26" t="s">
        <v>84</v>
      </c>
      <c r="H6" s="46"/>
      <c r="I6" s="76" t="s">
        <v>28</v>
      </c>
      <c r="J6" s="6" t="s">
        <v>84</v>
      </c>
    </row>
    <row r="7" spans="2:10">
      <c r="B7" s="99" t="s">
        <v>45</v>
      </c>
      <c r="C7" s="100"/>
      <c r="D7" s="92">
        <v>2</v>
      </c>
      <c r="E7" s="101" t="s">
        <v>9</v>
      </c>
      <c r="F7" s="103">
        <v>1</v>
      </c>
      <c r="G7" s="105">
        <f>IF((C10+C12+C14+C16+C18+C20+C22+C24)&gt;0,G9*3700/(D7/2),C8*3700/(D7/2))</f>
        <v>242483200</v>
      </c>
      <c r="H7" s="46"/>
      <c r="I7" s="69" t="s">
        <v>10</v>
      </c>
      <c r="J7" s="71">
        <f>2*G7/F7</f>
        <v>484966400</v>
      </c>
    </row>
    <row r="8" spans="2:10">
      <c r="B8" s="12" t="s">
        <v>141</v>
      </c>
      <c r="C8" s="32">
        <v>1</v>
      </c>
      <c r="D8" s="93"/>
      <c r="E8" s="102"/>
      <c r="F8" s="104"/>
      <c r="G8" s="106"/>
      <c r="H8" s="46"/>
      <c r="I8" s="70"/>
      <c r="J8" s="72"/>
    </row>
    <row r="9" spans="2:10">
      <c r="B9" s="13" t="s">
        <v>46</v>
      </c>
      <c r="C9" s="30"/>
      <c r="D9" s="92">
        <v>1</v>
      </c>
      <c r="E9" s="21" t="s">
        <v>0</v>
      </c>
      <c r="F9" s="20"/>
      <c r="G9" s="31">
        <f>G11*4+C10*4</f>
        <v>65536</v>
      </c>
      <c r="H9" s="46"/>
      <c r="I9" s="53" t="s">
        <v>11</v>
      </c>
      <c r="J9" s="54">
        <f>2*G10/F10</f>
        <v>983040000</v>
      </c>
    </row>
    <row r="10" spans="2:10">
      <c r="B10" s="15" t="s">
        <v>141</v>
      </c>
      <c r="C10" s="49">
        <v>0</v>
      </c>
      <c r="D10" s="93"/>
      <c r="E10" s="74" t="s">
        <v>47</v>
      </c>
      <c r="F10" s="75">
        <v>1</v>
      </c>
      <c r="G10" s="73">
        <f>IF((C12+C14+C16+C18+C20+C22+C24)&gt;0,G11*15000/(D9/2),C10*15000/(D9/2))</f>
        <v>491520000</v>
      </c>
      <c r="H10" s="46"/>
      <c r="I10" s="53" t="s">
        <v>49</v>
      </c>
      <c r="J10" s="54">
        <f>2*G12/F12+2*G10/F10</f>
        <v>1949696000</v>
      </c>
    </row>
    <row r="11" spans="2:10">
      <c r="B11" s="22" t="s">
        <v>48</v>
      </c>
      <c r="C11" s="29"/>
      <c r="D11" s="103">
        <v>1</v>
      </c>
      <c r="E11" s="77" t="s">
        <v>1</v>
      </c>
      <c r="F11" s="78"/>
      <c r="G11" s="71">
        <f>G13*4+C12*4</f>
        <v>16384</v>
      </c>
      <c r="H11" s="46"/>
      <c r="I11" s="53" t="s">
        <v>15</v>
      </c>
      <c r="J11" s="54">
        <f>2*G12/F12</f>
        <v>966656000</v>
      </c>
    </row>
    <row r="12" spans="2:10">
      <c r="B12" s="18" t="s">
        <v>141</v>
      </c>
      <c r="C12" s="49">
        <v>0</v>
      </c>
      <c r="D12" s="104"/>
      <c r="E12" s="77" t="s">
        <v>37</v>
      </c>
      <c r="F12" s="75">
        <v>1</v>
      </c>
      <c r="G12" s="71">
        <f>IF((C14+C16+C18+C20+C22+C24)&gt;0,G13*59000/(D11/2),C12*59000/(D11/2))</f>
        <v>483328000</v>
      </c>
      <c r="H12" s="46"/>
      <c r="I12" s="53" t="s">
        <v>18</v>
      </c>
      <c r="J12" s="54">
        <f>2*G14/F14</f>
        <v>983040000</v>
      </c>
    </row>
    <row r="13" spans="2:10">
      <c r="B13" s="13" t="s">
        <v>50</v>
      </c>
      <c r="C13" s="30"/>
      <c r="D13" s="103">
        <v>1</v>
      </c>
      <c r="E13" s="80" t="s">
        <v>51</v>
      </c>
      <c r="F13" s="74"/>
      <c r="G13" s="73">
        <f>G15*4+C14*4</f>
        <v>4096</v>
      </c>
      <c r="H13" s="46"/>
      <c r="I13" s="53" t="s">
        <v>16</v>
      </c>
      <c r="J13" s="54">
        <f>2*G14/F14</f>
        <v>983040000</v>
      </c>
    </row>
    <row r="14" spans="2:10">
      <c r="B14" s="15" t="s">
        <v>141</v>
      </c>
      <c r="C14" s="49">
        <v>0</v>
      </c>
      <c r="D14" s="104"/>
      <c r="E14" s="80" t="s">
        <v>23</v>
      </c>
      <c r="F14" s="75">
        <v>1</v>
      </c>
      <c r="G14" s="73">
        <f>IF((C16+C18+C20+C22+C24)&gt;0,G15*240000/(D13/2),C14*240000/(D13/2))</f>
        <v>491520000</v>
      </c>
      <c r="H14" s="46"/>
      <c r="I14" s="53" t="s">
        <v>13</v>
      </c>
      <c r="J14" s="54">
        <f>2*G16/F16</f>
        <v>962560000</v>
      </c>
    </row>
    <row r="15" spans="2:10">
      <c r="B15" s="22" t="s">
        <v>52</v>
      </c>
      <c r="C15" s="29"/>
      <c r="D15" s="103">
        <v>1</v>
      </c>
      <c r="E15" s="77" t="s">
        <v>53</v>
      </c>
      <c r="F15" s="78"/>
      <c r="G15" s="71">
        <f>G17*4+C16*4</f>
        <v>1024</v>
      </c>
      <c r="H15" s="46"/>
      <c r="I15" s="53" t="s">
        <v>12</v>
      </c>
      <c r="J15" s="54">
        <f>2*G16/F16</f>
        <v>962560000</v>
      </c>
    </row>
    <row r="16" spans="2:10">
      <c r="B16" s="18" t="s">
        <v>141</v>
      </c>
      <c r="C16" s="49">
        <v>0</v>
      </c>
      <c r="D16" s="104"/>
      <c r="E16" s="77" t="s">
        <v>25</v>
      </c>
      <c r="F16" s="75">
        <v>1</v>
      </c>
      <c r="G16" s="71">
        <f>IF((C18+C20+C22+C24)&gt;0,G17*940000/(D15/2),C16*940000/(D15/2))</f>
        <v>481280000</v>
      </c>
      <c r="H16" s="46"/>
      <c r="I16" s="53" t="s">
        <v>58</v>
      </c>
      <c r="J16" s="54">
        <f>2*G18/F18</f>
        <v>314412225.42457855</v>
      </c>
    </row>
    <row r="17" spans="2:11">
      <c r="B17" s="13" t="s">
        <v>54</v>
      </c>
      <c r="C17" s="30"/>
      <c r="D17" s="103">
        <v>1</v>
      </c>
      <c r="E17" s="74" t="s">
        <v>55</v>
      </c>
      <c r="F17" s="74"/>
      <c r="G17" s="73">
        <f>G19*4+C18*4</f>
        <v>256</v>
      </c>
      <c r="H17" s="47"/>
      <c r="I17" s="53" t="s">
        <v>57</v>
      </c>
      <c r="J17" s="54">
        <f>2*G20/F20+2*G18/F18</f>
        <v>557612225.42457855</v>
      </c>
    </row>
    <row r="18" spans="2:11">
      <c r="B18" s="15" t="s">
        <v>141</v>
      </c>
      <c r="C18" s="49">
        <v>0</v>
      </c>
      <c r="D18" s="104"/>
      <c r="E18" s="80" t="s">
        <v>56</v>
      </c>
      <c r="F18" s="75">
        <v>1</v>
      </c>
      <c r="G18" s="73">
        <f>IF((C20+C22+C24)&gt;0,G19*1228172.75556476/(D17/2),C18*1228172.75556476/(D17/2))</f>
        <v>157206112.71228927</v>
      </c>
      <c r="H18" s="47"/>
      <c r="I18" s="53" t="s">
        <v>62</v>
      </c>
      <c r="J18" s="54">
        <f>2*G22/F22+2*G20/F20</f>
        <v>1203200000</v>
      </c>
    </row>
    <row r="19" spans="2:11">
      <c r="B19" s="22" t="s">
        <v>60</v>
      </c>
      <c r="C19" s="29"/>
      <c r="D19" s="103">
        <v>1</v>
      </c>
      <c r="E19" s="77" t="s">
        <v>59</v>
      </c>
      <c r="F19" s="78"/>
      <c r="G19" s="88">
        <f>G21*4+C20*4</f>
        <v>64</v>
      </c>
      <c r="H19" s="47"/>
      <c r="I19" s="53" t="s">
        <v>66</v>
      </c>
      <c r="J19" s="54">
        <f>2*G22/F22</f>
        <v>960000000</v>
      </c>
    </row>
    <row r="20" spans="2:11">
      <c r="B20" s="18" t="s">
        <v>141</v>
      </c>
      <c r="C20" s="49">
        <v>0</v>
      </c>
      <c r="D20" s="104"/>
      <c r="E20" s="77" t="s">
        <v>61</v>
      </c>
      <c r="F20" s="75">
        <v>1</v>
      </c>
      <c r="G20" s="71">
        <f>IF((C22+C24)&gt;0,G21*3800000/(D19/2),C20*3800000/(D19/2))</f>
        <v>121600000</v>
      </c>
      <c r="H20" s="47"/>
      <c r="I20" s="53" t="s">
        <v>70</v>
      </c>
      <c r="J20" s="54">
        <f>2*G24/F24</f>
        <v>960000000</v>
      </c>
    </row>
    <row r="21" spans="2:11">
      <c r="B21" s="13" t="s">
        <v>64</v>
      </c>
      <c r="C21" s="30"/>
      <c r="D21" s="103">
        <v>1</v>
      </c>
      <c r="E21" s="80" t="s">
        <v>63</v>
      </c>
      <c r="F21" s="74"/>
      <c r="G21" s="73">
        <f>G23*4+C22*4</f>
        <v>16</v>
      </c>
      <c r="H21" s="47"/>
      <c r="I21" s="53" t="s">
        <v>71</v>
      </c>
      <c r="J21" s="54">
        <f>2*G24/F24</f>
        <v>960000000</v>
      </c>
    </row>
    <row r="22" spans="2:11">
      <c r="B22" s="15" t="s">
        <v>141</v>
      </c>
      <c r="C22" s="49">
        <v>0</v>
      </c>
      <c r="D22" s="104"/>
      <c r="E22" s="80" t="s">
        <v>65</v>
      </c>
      <c r="F22" s="75">
        <v>1</v>
      </c>
      <c r="G22" s="73">
        <f>IF(C24&gt;0,G23*60000000/(D21/2),C22*60000000/(D21/2))</f>
        <v>480000000</v>
      </c>
      <c r="H22" s="47"/>
      <c r="J22" s="1"/>
      <c r="K22" s="8"/>
    </row>
    <row r="23" spans="2:11">
      <c r="B23" s="22" t="s">
        <v>68</v>
      </c>
      <c r="C23" s="29"/>
      <c r="D23" s="103">
        <v>1</v>
      </c>
      <c r="E23" s="77" t="s">
        <v>67</v>
      </c>
      <c r="F23" s="78"/>
      <c r="G23" s="71">
        <f>C24*4</f>
        <v>4</v>
      </c>
      <c r="H23" s="47"/>
      <c r="J23" s="1"/>
    </row>
    <row r="24" spans="2:11">
      <c r="B24" s="18" t="s">
        <v>141</v>
      </c>
      <c r="C24" s="49">
        <v>1</v>
      </c>
      <c r="D24" s="104"/>
      <c r="E24" s="78" t="s">
        <v>69</v>
      </c>
      <c r="F24" s="84">
        <v>1</v>
      </c>
      <c r="G24" s="71">
        <f>IF(C24&gt;0,C24*240000000/(D23/2),0)</f>
        <v>480000000</v>
      </c>
      <c r="H24" s="47"/>
      <c r="J24" s="1"/>
    </row>
    <row r="25" spans="2:11">
      <c r="B25" s="83"/>
      <c r="C25" s="83"/>
      <c r="D25" s="44"/>
      <c r="E25" s="83"/>
      <c r="F25" s="44"/>
      <c r="G25" s="91"/>
      <c r="H25" s="89"/>
      <c r="J25" s="1"/>
      <c r="K25" s="8"/>
    </row>
    <row r="26" spans="2:11">
      <c r="B26" s="42"/>
      <c r="C26" s="42"/>
      <c r="D26" s="43"/>
      <c r="E26" s="42"/>
      <c r="F26" s="43"/>
      <c r="G26" s="90"/>
      <c r="H26" s="89"/>
      <c r="J26" s="1"/>
    </row>
    <row r="27" spans="2:11">
      <c r="B27" s="42"/>
      <c r="C27" s="42"/>
      <c r="D27" s="43"/>
      <c r="E27" s="42"/>
      <c r="F27" s="43"/>
      <c r="G27" s="90"/>
      <c r="H27" s="89"/>
      <c r="J27" s="1"/>
    </row>
    <row r="28" spans="2:11">
      <c r="B28" s="42"/>
      <c r="C28" s="42"/>
      <c r="D28" s="43"/>
      <c r="E28" s="42"/>
      <c r="F28" s="43"/>
      <c r="G28" s="90"/>
      <c r="H28" s="89"/>
      <c r="J28" s="1"/>
      <c r="K28" s="8"/>
    </row>
    <row r="29" spans="2:11">
      <c r="B29" s="42"/>
      <c r="C29" s="42"/>
      <c r="D29" s="43"/>
      <c r="E29" s="42"/>
      <c r="F29" s="43"/>
      <c r="G29" s="90"/>
      <c r="H29" s="89"/>
      <c r="J29" s="1"/>
    </row>
    <row r="30" spans="2:11">
      <c r="B30" s="42"/>
      <c r="C30" s="42"/>
      <c r="D30" s="43"/>
      <c r="E30" s="42"/>
      <c r="F30" s="43"/>
      <c r="G30" s="90"/>
      <c r="H30" s="89"/>
      <c r="J30" s="1"/>
    </row>
    <row r="31" spans="2:11">
      <c r="B31" s="42"/>
      <c r="C31" s="42"/>
      <c r="D31" s="43"/>
      <c r="E31" s="42"/>
      <c r="F31" s="43"/>
      <c r="G31" s="90"/>
      <c r="H31" s="89"/>
      <c r="J31" s="1"/>
    </row>
    <row r="32" spans="2:11">
      <c r="J32" s="1"/>
    </row>
    <row r="33" spans="10:10">
      <c r="J33" s="1"/>
    </row>
    <row r="34" spans="10:10">
      <c r="J34" s="1"/>
    </row>
    <row r="35" spans="10:10">
      <c r="J35" s="1"/>
    </row>
  </sheetData>
  <mergeCells count="16">
    <mergeCell ref="D23:D24"/>
    <mergeCell ref="D19:D20"/>
    <mergeCell ref="D21:D22"/>
    <mergeCell ref="D17:D18"/>
    <mergeCell ref="D15:D16"/>
    <mergeCell ref="D13:D14"/>
    <mergeCell ref="D11:D12"/>
    <mergeCell ref="D9:D10"/>
    <mergeCell ref="B5:D5"/>
    <mergeCell ref="E5:G5"/>
    <mergeCell ref="B6:C6"/>
    <mergeCell ref="B7:C7"/>
    <mergeCell ref="D7:D8"/>
    <mergeCell ref="E7:E8"/>
    <mergeCell ref="F7:F8"/>
    <mergeCell ref="G7:G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K40"/>
  <sheetViews>
    <sheetView zoomScaleNormal="100" workbookViewId="0">
      <selection activeCell="G9" sqref="G9"/>
    </sheetView>
  </sheetViews>
  <sheetFormatPr baseColWidth="10" defaultRowHeight="15"/>
  <cols>
    <col min="1" max="1" width="1.140625" style="1" customWidth="1"/>
    <col min="2" max="2" width="31.5703125" style="1" customWidth="1"/>
    <col min="3" max="3" width="4.140625" style="1" customWidth="1"/>
    <col min="4" max="4" width="4" style="2" bestFit="1" customWidth="1"/>
    <col min="5" max="5" width="26" style="1" customWidth="1"/>
    <col min="6" max="6" width="4" style="2" customWidth="1"/>
    <col min="7" max="7" width="23" style="38" customWidth="1"/>
    <col min="8" max="8" width="2" style="38" customWidth="1"/>
    <col min="9" max="9" width="13.5703125" style="1" customWidth="1"/>
    <col min="10" max="10" width="29.28515625" style="2" customWidth="1"/>
    <col min="11" max="11" width="25.42578125" style="1" customWidth="1"/>
    <col min="12" max="12" width="8.5703125" style="1" customWidth="1"/>
    <col min="13" max="16384" width="11.42578125" style="1"/>
  </cols>
  <sheetData>
    <row r="1" spans="2:10">
      <c r="B1" s="1" t="s">
        <v>30</v>
      </c>
      <c r="E1" s="11"/>
      <c r="G1" s="37" t="s">
        <v>145</v>
      </c>
      <c r="H1" s="37"/>
    </row>
    <row r="2" spans="2:10">
      <c r="E2" s="3"/>
    </row>
    <row r="3" spans="2:10">
      <c r="B3" s="24" t="s">
        <v>147</v>
      </c>
      <c r="C3" s="4"/>
      <c r="I3" s="5" t="s">
        <v>32</v>
      </c>
    </row>
    <row r="5" spans="2:10">
      <c r="B5" s="95" t="s">
        <v>29</v>
      </c>
      <c r="C5" s="96"/>
      <c r="D5" s="108"/>
      <c r="E5" s="95" t="s">
        <v>7</v>
      </c>
      <c r="F5" s="108"/>
      <c r="G5" s="39"/>
      <c r="H5" s="41"/>
      <c r="I5" s="9" t="s">
        <v>8</v>
      </c>
      <c r="J5" s="9"/>
    </row>
    <row r="6" spans="2:10">
      <c r="B6" s="98" t="s">
        <v>28</v>
      </c>
      <c r="C6" s="97"/>
      <c r="D6" s="6" t="s">
        <v>31</v>
      </c>
      <c r="E6" s="10" t="s">
        <v>28</v>
      </c>
      <c r="F6" s="6" t="s">
        <v>31</v>
      </c>
      <c r="G6" s="39" t="s">
        <v>84</v>
      </c>
      <c r="H6" s="41"/>
      <c r="I6" s="10" t="s">
        <v>28</v>
      </c>
      <c r="J6" s="6" t="s">
        <v>84</v>
      </c>
    </row>
    <row r="7" spans="2:10">
      <c r="B7" s="82" t="s">
        <v>34</v>
      </c>
      <c r="C7" s="17"/>
      <c r="D7" s="103">
        <v>2</v>
      </c>
      <c r="E7" s="101" t="s">
        <v>19</v>
      </c>
      <c r="F7" s="103">
        <v>1</v>
      </c>
      <c r="G7" s="107">
        <f>IF((C10+C12+C14+C16+C18+C20+C22+C24)&gt;0,G9*2400/(D7/2),C8*2400/(D7/2))</f>
        <v>2088.96</v>
      </c>
      <c r="H7" s="41"/>
      <c r="I7" s="55" t="s">
        <v>10</v>
      </c>
      <c r="J7" s="54">
        <f>2/F7*G7</f>
        <v>4177.92</v>
      </c>
    </row>
    <row r="8" spans="2:10">
      <c r="B8" s="12" t="s">
        <v>141</v>
      </c>
      <c r="C8" s="50">
        <v>0</v>
      </c>
      <c r="D8" s="104"/>
      <c r="E8" s="104"/>
      <c r="F8" s="104"/>
      <c r="G8" s="113"/>
      <c r="H8" s="41"/>
      <c r="I8" s="53" t="s">
        <v>14</v>
      </c>
      <c r="J8" s="54">
        <f>2/F7*G7</f>
        <v>4177.92</v>
      </c>
    </row>
    <row r="9" spans="2:10">
      <c r="B9" s="13" t="s">
        <v>35</v>
      </c>
      <c r="C9" s="16"/>
      <c r="D9" s="103">
        <v>2</v>
      </c>
      <c r="E9" s="87" t="s">
        <v>43</v>
      </c>
      <c r="F9" s="74"/>
      <c r="G9" s="85">
        <f>G11*4+C10*4</f>
        <v>0.87039999999999995</v>
      </c>
      <c r="H9" s="41"/>
      <c r="I9" s="53" t="s">
        <v>11</v>
      </c>
      <c r="J9" s="54">
        <f>2/F10*G10</f>
        <v>2132.48</v>
      </c>
    </row>
    <row r="10" spans="2:10">
      <c r="B10" s="15" t="s">
        <v>141</v>
      </c>
      <c r="C10" s="49">
        <v>0</v>
      </c>
      <c r="D10" s="104"/>
      <c r="E10" s="74" t="s">
        <v>20</v>
      </c>
      <c r="F10" s="75">
        <v>1</v>
      </c>
      <c r="G10" s="85">
        <f>IF((C12+C14+C16+C18+C20+C22+C24)&gt;0,G11*4900/(D9/2),C10*4900/(D9/2))</f>
        <v>1066.24</v>
      </c>
      <c r="H10" s="41"/>
      <c r="I10" s="53" t="s">
        <v>49</v>
      </c>
      <c r="J10" s="54">
        <f>2/F12*G12</f>
        <v>4243.2</v>
      </c>
    </row>
    <row r="11" spans="2:10">
      <c r="B11" s="82" t="s">
        <v>36</v>
      </c>
      <c r="C11" s="17"/>
      <c r="D11" s="103">
        <v>2</v>
      </c>
      <c r="E11" s="77" t="s">
        <v>38</v>
      </c>
      <c r="F11" s="78"/>
      <c r="G11" s="86">
        <f>G13*4+C12*4</f>
        <v>0.21759999999999999</v>
      </c>
      <c r="H11" s="41"/>
      <c r="I11" s="53" t="s">
        <v>15</v>
      </c>
      <c r="J11" s="54">
        <f>2/F14*G14+2/F12*G12</f>
        <v>6419.2</v>
      </c>
    </row>
    <row r="12" spans="2:10">
      <c r="B12" s="18" t="s">
        <v>141</v>
      </c>
      <c r="C12" s="49">
        <v>0</v>
      </c>
      <c r="D12" s="104"/>
      <c r="E12" s="77" t="s">
        <v>37</v>
      </c>
      <c r="F12" s="75">
        <v>1</v>
      </c>
      <c r="G12" s="86">
        <f>IF((C14+C16+C18+C20+C22+C24)&gt;0,G13*39000/(D11/2),C12*39000/(D11/2))</f>
        <v>2121.6</v>
      </c>
      <c r="H12" s="41"/>
      <c r="I12" s="53" t="s">
        <v>17</v>
      </c>
      <c r="J12" s="54">
        <f>2/F16*G16</f>
        <v>4284</v>
      </c>
    </row>
    <row r="13" spans="2:10">
      <c r="B13" s="13" t="s">
        <v>73</v>
      </c>
      <c r="C13" s="14"/>
      <c r="D13" s="103">
        <v>2</v>
      </c>
      <c r="E13" s="80" t="s">
        <v>40</v>
      </c>
      <c r="F13" s="74"/>
      <c r="G13" s="85">
        <f>G15*4+C14*4</f>
        <v>5.4399999999999997E-2</v>
      </c>
      <c r="H13" s="41"/>
      <c r="I13" s="53" t="s">
        <v>12</v>
      </c>
      <c r="J13" s="54">
        <f>2/F16*G16</f>
        <v>4284</v>
      </c>
    </row>
    <row r="14" spans="2:10">
      <c r="B14" s="15" t="s">
        <v>141</v>
      </c>
      <c r="C14" s="49">
        <v>0</v>
      </c>
      <c r="D14" s="104"/>
      <c r="E14" s="80" t="s">
        <v>39</v>
      </c>
      <c r="F14" s="75">
        <v>1</v>
      </c>
      <c r="G14" s="85">
        <f>IF((C16+C18+C20+C22+C24)&gt;0,G15*160000/D13,C14*160000/D13)</f>
        <v>1088</v>
      </c>
      <c r="H14" s="41"/>
      <c r="I14" s="53" t="s">
        <v>13</v>
      </c>
      <c r="J14" s="54">
        <f>2/F18*G18+2/F14*G14</f>
        <v>2176</v>
      </c>
    </row>
    <row r="15" spans="2:10">
      <c r="B15" s="82" t="s">
        <v>41</v>
      </c>
      <c r="C15" s="17"/>
      <c r="D15" s="103">
        <v>2</v>
      </c>
      <c r="E15" s="77" t="s">
        <v>72</v>
      </c>
      <c r="F15" s="78"/>
      <c r="G15" s="86">
        <f>G17*4+C16*4</f>
        <v>1.3599999999999999E-2</v>
      </c>
      <c r="H15" s="41"/>
      <c r="I15" s="53" t="s">
        <v>27</v>
      </c>
      <c r="J15" s="54">
        <f>2/F20*G20+2/F18*G18</f>
        <v>0</v>
      </c>
    </row>
    <row r="16" spans="2:10">
      <c r="B16" s="18" t="s">
        <v>141</v>
      </c>
      <c r="C16" s="49">
        <v>3.3999999999999998E-3</v>
      </c>
      <c r="D16" s="104"/>
      <c r="E16" s="77" t="s">
        <v>42</v>
      </c>
      <c r="F16" s="75">
        <v>1</v>
      </c>
      <c r="G16" s="86">
        <f>IF((C18+C20+C22+C24)&gt;0,G17*630000/(D15/2),C16*630000/(D15/2))</f>
        <v>2142</v>
      </c>
      <c r="H16" s="41"/>
      <c r="I16" s="53" t="s">
        <v>79</v>
      </c>
      <c r="J16" s="54">
        <f>2/F22*G22+2/F20*G20</f>
        <v>0</v>
      </c>
    </row>
    <row r="17" spans="2:11">
      <c r="B17" s="13" t="s">
        <v>74</v>
      </c>
      <c r="C17" s="14"/>
      <c r="D17" s="103">
        <v>2</v>
      </c>
      <c r="E17" s="80" t="s">
        <v>75</v>
      </c>
      <c r="F17" s="74"/>
      <c r="G17" s="85">
        <f>G19*4+C18*4</f>
        <v>0</v>
      </c>
      <c r="H17" s="41"/>
      <c r="I17" s="53" t="s">
        <v>58</v>
      </c>
      <c r="J17" s="54">
        <f>2/F22*G22</f>
        <v>0</v>
      </c>
    </row>
    <row r="18" spans="2:11">
      <c r="B18" s="15" t="s">
        <v>141</v>
      </c>
      <c r="C18" s="49">
        <v>0</v>
      </c>
      <c r="D18" s="104"/>
      <c r="E18" s="80" t="s">
        <v>76</v>
      </c>
      <c r="F18" s="75">
        <v>1</v>
      </c>
      <c r="G18" s="85">
        <f>IF((C20+C22+C24)&gt;0,G19*2500000/(D17/2),C18*2500000/(D17/2))</f>
        <v>0</v>
      </c>
      <c r="H18" s="41"/>
      <c r="I18" s="53" t="s">
        <v>70</v>
      </c>
      <c r="J18" s="54">
        <f>2/F24*G24</f>
        <v>0</v>
      </c>
    </row>
    <row r="19" spans="2:11">
      <c r="B19" s="82" t="s">
        <v>77</v>
      </c>
      <c r="C19" s="17"/>
      <c r="D19" s="103">
        <v>2</v>
      </c>
      <c r="E19" s="77" t="s">
        <v>142</v>
      </c>
      <c r="F19" s="78"/>
      <c r="G19" s="86">
        <f>G21*4+C20*4</f>
        <v>0</v>
      </c>
      <c r="H19" s="41"/>
      <c r="I19" s="53" t="s">
        <v>71</v>
      </c>
      <c r="J19" s="54">
        <f>2/F24*G24</f>
        <v>0</v>
      </c>
    </row>
    <row r="20" spans="2:11">
      <c r="B20" s="18" t="s">
        <v>141</v>
      </c>
      <c r="C20" s="49">
        <v>0</v>
      </c>
      <c r="D20" s="104"/>
      <c r="E20" s="77" t="s">
        <v>78</v>
      </c>
      <c r="F20" s="75">
        <v>1</v>
      </c>
      <c r="G20" s="86">
        <f>IF((C22+C24)&gt;0,G21*10000000/(D19/2),C20*10000000/(D19/2))</f>
        <v>0</v>
      </c>
      <c r="H20" s="41"/>
      <c r="I20" s="42"/>
      <c r="J20" s="43"/>
      <c r="K20" s="7"/>
    </row>
    <row r="21" spans="2:11">
      <c r="B21" s="13" t="s">
        <v>80</v>
      </c>
      <c r="C21" s="14"/>
      <c r="D21" s="103">
        <v>2</v>
      </c>
      <c r="E21" s="80" t="s">
        <v>81</v>
      </c>
      <c r="F21" s="74"/>
      <c r="G21" s="85">
        <f>G23*4+C22*4</f>
        <v>0</v>
      </c>
      <c r="H21" s="41"/>
      <c r="I21" s="42"/>
      <c r="J21" s="43"/>
      <c r="K21" s="7"/>
    </row>
    <row r="22" spans="2:11">
      <c r="B22" s="15" t="s">
        <v>141</v>
      </c>
      <c r="C22" s="49">
        <v>0</v>
      </c>
      <c r="D22" s="104"/>
      <c r="E22" s="80" t="s">
        <v>82</v>
      </c>
      <c r="F22" s="75">
        <v>1</v>
      </c>
      <c r="G22" s="85">
        <f>IF(C24&gt;0,G23*40000000/D21,C22*40000000/D21)</f>
        <v>0</v>
      </c>
      <c r="H22" s="41"/>
      <c r="J22" s="43"/>
      <c r="K22" s="8"/>
    </row>
    <row r="23" spans="2:11">
      <c r="B23" s="82" t="s">
        <v>83</v>
      </c>
      <c r="C23" s="17"/>
      <c r="D23" s="103">
        <v>2</v>
      </c>
      <c r="E23" s="77" t="s">
        <v>143</v>
      </c>
      <c r="F23" s="78"/>
      <c r="G23" s="86">
        <f>C24*4</f>
        <v>0</v>
      </c>
      <c r="H23" s="41"/>
      <c r="J23" s="43"/>
      <c r="K23" s="8"/>
    </row>
    <row r="24" spans="2:11">
      <c r="B24" s="18" t="s">
        <v>141</v>
      </c>
      <c r="C24" s="49">
        <v>0</v>
      </c>
      <c r="D24" s="104"/>
      <c r="E24" s="78" t="s">
        <v>69</v>
      </c>
      <c r="F24" s="84">
        <v>1</v>
      </c>
      <c r="G24" s="86">
        <f>IF(C24&gt;0,C24*160000000/(D23/2),0)</f>
        <v>0</v>
      </c>
      <c r="H24" s="41"/>
      <c r="J24" s="43"/>
      <c r="K24" s="8"/>
    </row>
    <row r="25" spans="2:11">
      <c r="B25" s="44"/>
      <c r="C25" s="83"/>
      <c r="D25" s="44"/>
      <c r="E25" s="111"/>
      <c r="F25" s="112"/>
      <c r="G25" s="83"/>
      <c r="H25" s="43"/>
      <c r="J25" s="1"/>
    </row>
    <row r="26" spans="2:11">
      <c r="B26" s="42"/>
      <c r="C26" s="42"/>
      <c r="D26" s="43"/>
      <c r="E26" s="42"/>
      <c r="F26" s="42"/>
      <c r="G26" s="42"/>
      <c r="H26" s="110"/>
      <c r="J26" s="43"/>
      <c r="K26" s="8"/>
    </row>
    <row r="27" spans="2:11">
      <c r="B27" s="42"/>
      <c r="C27" s="42"/>
      <c r="D27" s="43"/>
      <c r="E27" s="42"/>
      <c r="F27" s="42"/>
      <c r="G27" s="42"/>
      <c r="H27" s="110"/>
      <c r="J27" s="43"/>
      <c r="K27" s="8"/>
    </row>
    <row r="28" spans="2:11">
      <c r="B28" s="42"/>
      <c r="C28" s="42"/>
      <c r="D28" s="43"/>
      <c r="E28" s="42"/>
      <c r="F28" s="42"/>
      <c r="G28" s="42"/>
      <c r="H28" s="110"/>
      <c r="J28" s="43"/>
      <c r="K28" s="8"/>
    </row>
    <row r="29" spans="2:11">
      <c r="B29" s="42"/>
      <c r="C29" s="42"/>
      <c r="D29" s="43"/>
      <c r="E29" s="42"/>
      <c r="F29" s="42"/>
      <c r="G29" s="42"/>
      <c r="H29" s="110"/>
      <c r="J29" s="43"/>
      <c r="K29" s="8"/>
    </row>
    <row r="30" spans="2:11">
      <c r="B30" s="42"/>
      <c r="C30" s="42"/>
      <c r="D30" s="43"/>
      <c r="E30" s="42"/>
      <c r="F30" s="42"/>
      <c r="G30" s="42"/>
      <c r="H30" s="110"/>
      <c r="J30" s="43"/>
      <c r="K30" s="8"/>
    </row>
    <row r="31" spans="2:11">
      <c r="B31" s="42"/>
      <c r="C31" s="42"/>
      <c r="D31" s="43"/>
      <c r="E31" s="42"/>
      <c r="F31" s="42"/>
      <c r="G31" s="42"/>
      <c r="H31" s="110"/>
    </row>
    <row r="32" spans="2:11">
      <c r="B32" s="42"/>
      <c r="C32" s="42"/>
      <c r="D32" s="43"/>
      <c r="E32" s="42"/>
      <c r="F32" s="42"/>
      <c r="G32" s="42"/>
    </row>
    <row r="33" spans="2:7">
      <c r="B33" s="42"/>
      <c r="C33" s="42"/>
      <c r="D33" s="43"/>
      <c r="E33" s="42"/>
      <c r="F33" s="42"/>
      <c r="G33" s="42"/>
    </row>
    <row r="34" spans="2:7">
      <c r="B34" s="42"/>
      <c r="C34" s="42"/>
      <c r="D34" s="43"/>
      <c r="E34" s="42"/>
      <c r="F34" s="42"/>
      <c r="G34" s="42"/>
    </row>
    <row r="35" spans="2:7">
      <c r="F35" s="1"/>
      <c r="G35" s="1"/>
    </row>
    <row r="36" spans="2:7">
      <c r="F36" s="1"/>
      <c r="G36" s="1"/>
    </row>
    <row r="37" spans="2:7">
      <c r="F37" s="1"/>
      <c r="G37" s="1"/>
    </row>
    <row r="38" spans="2:7">
      <c r="F38" s="1"/>
      <c r="G38" s="1"/>
    </row>
    <row r="39" spans="2:7">
      <c r="F39" s="1"/>
      <c r="G39" s="1"/>
    </row>
    <row r="40" spans="2:7">
      <c r="F40" s="1"/>
      <c r="G40" s="1"/>
    </row>
  </sheetData>
  <mergeCells count="15">
    <mergeCell ref="D23:D24"/>
    <mergeCell ref="D19:D20"/>
    <mergeCell ref="D15:D16"/>
    <mergeCell ref="D11:D12"/>
    <mergeCell ref="D9:D10"/>
    <mergeCell ref="D13:D14"/>
    <mergeCell ref="D17:D18"/>
    <mergeCell ref="D21:D22"/>
    <mergeCell ref="D7:D8"/>
    <mergeCell ref="F7:F8"/>
    <mergeCell ref="E7:E8"/>
    <mergeCell ref="G7:G8"/>
    <mergeCell ref="B5:D5"/>
    <mergeCell ref="E5:F5"/>
    <mergeCell ref="B6:C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K82"/>
  <sheetViews>
    <sheetView workbookViewId="0">
      <selection activeCell="G9" sqref="G9"/>
    </sheetView>
  </sheetViews>
  <sheetFormatPr baseColWidth="10" defaultRowHeight="15"/>
  <cols>
    <col min="1" max="1" width="1.28515625" style="1" customWidth="1"/>
    <col min="2" max="2" width="27.140625" style="1" customWidth="1"/>
    <col min="3" max="3" width="4.28515625" style="1" customWidth="1"/>
    <col min="4" max="4" width="4" style="2" bestFit="1" customWidth="1"/>
    <col min="5" max="5" width="23.5703125" style="1" customWidth="1"/>
    <col min="6" max="6" width="4" style="2" customWidth="1"/>
    <col min="7" max="7" width="29.140625" style="25" customWidth="1"/>
    <col min="8" max="8" width="1.28515625" style="25" customWidth="1"/>
    <col min="9" max="9" width="13.85546875" style="1" customWidth="1"/>
    <col min="10" max="10" width="30" style="2" customWidth="1"/>
    <col min="11" max="11" width="25.42578125" style="1" customWidth="1"/>
    <col min="12" max="12" width="8.5703125" style="1" customWidth="1"/>
    <col min="13" max="16384" width="11.42578125" style="1"/>
  </cols>
  <sheetData>
    <row r="1" spans="2:10">
      <c r="B1" s="1" t="s">
        <v>30</v>
      </c>
      <c r="E1" s="11"/>
      <c r="G1" s="27" t="s">
        <v>144</v>
      </c>
      <c r="H1" s="27"/>
    </row>
    <row r="2" spans="2:10">
      <c r="E2" s="3"/>
    </row>
    <row r="3" spans="2:10">
      <c r="B3" s="24" t="s">
        <v>147</v>
      </c>
      <c r="C3" s="4"/>
      <c r="I3" s="5" t="s">
        <v>32</v>
      </c>
    </row>
    <row r="5" spans="2:10">
      <c r="B5" s="94" t="s">
        <v>29</v>
      </c>
      <c r="C5" s="94"/>
      <c r="D5" s="94"/>
      <c r="E5" s="95" t="s">
        <v>7</v>
      </c>
      <c r="F5" s="96"/>
      <c r="G5" s="97"/>
      <c r="H5" s="45"/>
      <c r="I5" s="19" t="s">
        <v>8</v>
      </c>
      <c r="J5" s="19"/>
    </row>
    <row r="6" spans="2:10">
      <c r="B6" s="98" t="s">
        <v>28</v>
      </c>
      <c r="C6" s="97"/>
      <c r="D6" s="6" t="s">
        <v>31</v>
      </c>
      <c r="E6" s="23" t="s">
        <v>28</v>
      </c>
      <c r="F6" s="6" t="s">
        <v>31</v>
      </c>
      <c r="G6" s="26" t="s">
        <v>84</v>
      </c>
      <c r="H6" s="46"/>
      <c r="I6" s="23" t="s">
        <v>28</v>
      </c>
      <c r="J6" s="6" t="s">
        <v>84</v>
      </c>
    </row>
    <row r="7" spans="2:10">
      <c r="B7" s="59" t="s">
        <v>120</v>
      </c>
      <c r="C7" s="17"/>
      <c r="D7" s="103">
        <v>1</v>
      </c>
      <c r="E7" s="61" t="s">
        <v>121</v>
      </c>
      <c r="F7" s="103">
        <v>1</v>
      </c>
      <c r="G7" s="64">
        <f>IF((C10+C12+C14+C16+C18+C20+C22+C24)&gt;0,G9*2400/(D7/2),C8*2400/(D7/2))</f>
        <v>314572800</v>
      </c>
      <c r="H7" s="46"/>
      <c r="I7" s="53" t="s">
        <v>10</v>
      </c>
      <c r="J7" s="54">
        <f>2*G7/F7</f>
        <v>629145600</v>
      </c>
    </row>
    <row r="8" spans="2:10">
      <c r="B8" s="12" t="s">
        <v>141</v>
      </c>
      <c r="C8" s="50">
        <v>0</v>
      </c>
      <c r="D8" s="104"/>
      <c r="E8" s="62"/>
      <c r="F8" s="104"/>
      <c r="G8" s="65"/>
      <c r="H8" s="46"/>
      <c r="I8" s="53" t="s">
        <v>11</v>
      </c>
      <c r="J8" s="54">
        <f>2*G7/F7</f>
        <v>629145600</v>
      </c>
    </row>
    <row r="9" spans="2:10">
      <c r="B9" s="13" t="s">
        <v>124</v>
      </c>
      <c r="C9" s="16"/>
      <c r="D9" s="103">
        <v>1</v>
      </c>
      <c r="E9" s="68" t="s">
        <v>122</v>
      </c>
      <c r="F9" s="57"/>
      <c r="G9" s="58">
        <f>G11*4+C10*4</f>
        <v>65536</v>
      </c>
      <c r="H9" s="46"/>
      <c r="I9" s="53" t="s">
        <v>14</v>
      </c>
      <c r="J9" s="54">
        <f>2*G10/F10</f>
        <v>642252800</v>
      </c>
    </row>
    <row r="10" spans="2:10">
      <c r="B10" s="15" t="s">
        <v>141</v>
      </c>
      <c r="C10" s="49">
        <v>0</v>
      </c>
      <c r="D10" s="104"/>
      <c r="E10" s="57" t="s">
        <v>123</v>
      </c>
      <c r="F10" s="56">
        <v>1</v>
      </c>
      <c r="G10" s="58">
        <f>IF((C12+C14+C16+C18+C20+C22+C24)&gt;0,G11*9800/(D9/2),C10*9800/(D9/2))</f>
        <v>321126400</v>
      </c>
      <c r="H10" s="48"/>
      <c r="I10" s="53" t="s">
        <v>16</v>
      </c>
      <c r="J10" s="54">
        <f>2*G12/F12+2*G10/F10</f>
        <v>1281228800</v>
      </c>
    </row>
    <row r="11" spans="2:10">
      <c r="B11" s="59" t="s">
        <v>126</v>
      </c>
      <c r="C11" s="17"/>
      <c r="D11" s="103">
        <v>1</v>
      </c>
      <c r="E11" s="66" t="s">
        <v>125</v>
      </c>
      <c r="F11" s="61"/>
      <c r="G11" s="64">
        <f>G13*4+C12*4</f>
        <v>16384</v>
      </c>
      <c r="H11" s="46"/>
      <c r="I11" s="53" t="s">
        <v>15</v>
      </c>
      <c r="J11" s="54">
        <f>2*G12/F12</f>
        <v>638976000</v>
      </c>
    </row>
    <row r="12" spans="2:10">
      <c r="B12" s="18" t="s">
        <v>141</v>
      </c>
      <c r="C12" s="49">
        <v>0</v>
      </c>
      <c r="D12" s="104"/>
      <c r="E12" s="66" t="s">
        <v>26</v>
      </c>
      <c r="F12" s="56">
        <v>1</v>
      </c>
      <c r="G12" s="64">
        <f>IF((C14+C16+C18+C20+C22+C24)&gt;0,G13*39000/(D11/2),C12*39000/(D11/2))</f>
        <v>319488000</v>
      </c>
      <c r="H12" s="46"/>
      <c r="I12" s="53" t="s">
        <v>18</v>
      </c>
      <c r="J12" s="54">
        <f>2*G14/F14</f>
        <v>655360000</v>
      </c>
    </row>
    <row r="13" spans="2:10">
      <c r="B13" s="13" t="s">
        <v>128</v>
      </c>
      <c r="C13" s="14"/>
      <c r="D13" s="103">
        <v>1</v>
      </c>
      <c r="E13" s="67" t="s">
        <v>127</v>
      </c>
      <c r="F13" s="57"/>
      <c r="G13" s="58">
        <f>G15*4+C14*4</f>
        <v>4096</v>
      </c>
      <c r="H13" s="46"/>
      <c r="I13" s="53" t="s">
        <v>17</v>
      </c>
      <c r="J13" s="54">
        <f>2*G16/F16+2*G14/F14</f>
        <v>1300480000</v>
      </c>
    </row>
    <row r="14" spans="2:10">
      <c r="B14" s="15" t="s">
        <v>141</v>
      </c>
      <c r="C14" s="49">
        <v>0</v>
      </c>
      <c r="D14" s="104"/>
      <c r="E14" s="67" t="s">
        <v>105</v>
      </c>
      <c r="F14" s="56">
        <v>1</v>
      </c>
      <c r="G14" s="58">
        <f>IF((C16+C18+C20+C22+C24)&gt;0,G15*160000/(D13/2),C14*160000/(D13/2))</f>
        <v>327680000</v>
      </c>
      <c r="H14" s="46"/>
      <c r="I14" s="53" t="s">
        <v>27</v>
      </c>
      <c r="J14" s="54">
        <f>2*G16/F16</f>
        <v>645120000</v>
      </c>
    </row>
    <row r="15" spans="2:10">
      <c r="B15" s="59" t="s">
        <v>130</v>
      </c>
      <c r="C15" s="17"/>
      <c r="D15" s="103">
        <v>1</v>
      </c>
      <c r="E15" s="66" t="s">
        <v>129</v>
      </c>
      <c r="F15" s="61"/>
      <c r="G15" s="64">
        <f>G17*4+C16*4</f>
        <v>1024</v>
      </c>
      <c r="H15" s="46"/>
      <c r="I15" s="53" t="s">
        <v>12</v>
      </c>
      <c r="J15" s="54">
        <f>2*G18/F18</f>
        <v>640000000</v>
      </c>
    </row>
    <row r="16" spans="2:10">
      <c r="B16" s="18" t="s">
        <v>141</v>
      </c>
      <c r="C16" s="49">
        <v>0</v>
      </c>
      <c r="D16" s="104"/>
      <c r="E16" s="66" t="s">
        <v>108</v>
      </c>
      <c r="F16" s="56">
        <v>1</v>
      </c>
      <c r="G16" s="64">
        <f>IF((C18+C20+C22+C24)&gt;0,G17*630000/(D15/2),C16*630000/(D15/2))</f>
        <v>322560000</v>
      </c>
      <c r="H16" s="46"/>
      <c r="I16" s="53" t="s">
        <v>57</v>
      </c>
      <c r="J16" s="54">
        <f>2*G18/F18</f>
        <v>640000000</v>
      </c>
    </row>
    <row r="17" spans="2:10">
      <c r="B17" s="13" t="s">
        <v>132</v>
      </c>
      <c r="C17" s="14"/>
      <c r="D17" s="103">
        <v>1</v>
      </c>
      <c r="E17" s="67" t="s">
        <v>131</v>
      </c>
      <c r="F17" s="57"/>
      <c r="G17" s="58">
        <f>G19*4+C18*4</f>
        <v>256</v>
      </c>
      <c r="H17" s="46"/>
      <c r="I17" s="53" t="s">
        <v>58</v>
      </c>
      <c r="J17" s="54">
        <f>2*G20/F20</f>
        <v>640000000</v>
      </c>
    </row>
    <row r="18" spans="2:10">
      <c r="B18" s="15" t="s">
        <v>141</v>
      </c>
      <c r="C18" s="49">
        <v>0</v>
      </c>
      <c r="D18" s="104"/>
      <c r="E18" s="67" t="s">
        <v>134</v>
      </c>
      <c r="F18" s="56">
        <v>1</v>
      </c>
      <c r="G18" s="58">
        <f>IF((C20+C22+C24)&gt;0,G19*2500000/(D17/2),C18*2500000/(D17/2))</f>
        <v>320000000</v>
      </c>
      <c r="H18" s="46"/>
      <c r="I18" s="53" t="s">
        <v>62</v>
      </c>
      <c r="J18" s="54">
        <f>2*G20/F20</f>
        <v>640000000</v>
      </c>
    </row>
    <row r="19" spans="2:10">
      <c r="B19" s="59" t="s">
        <v>135</v>
      </c>
      <c r="C19" s="17"/>
      <c r="D19" s="103">
        <v>1</v>
      </c>
      <c r="E19" s="66" t="s">
        <v>133</v>
      </c>
      <c r="F19" s="61"/>
      <c r="G19" s="64">
        <f>G21*4+C20*4</f>
        <v>64</v>
      </c>
      <c r="H19" s="46"/>
      <c r="I19" s="53" t="s">
        <v>79</v>
      </c>
      <c r="J19" s="54">
        <f>2*G22/F22</f>
        <v>640000000</v>
      </c>
    </row>
    <row r="20" spans="2:10">
      <c r="B20" s="18" t="s">
        <v>141</v>
      </c>
      <c r="C20" s="49">
        <v>0</v>
      </c>
      <c r="D20" s="104"/>
      <c r="E20" s="66" t="s">
        <v>113</v>
      </c>
      <c r="F20" s="56">
        <v>1</v>
      </c>
      <c r="G20" s="64">
        <f>IF((C22+C24)&gt;0,G21*10000000/(D19/2),C20*10000000/(D19/2))</f>
        <v>320000000</v>
      </c>
      <c r="H20" s="46"/>
      <c r="I20" s="53" t="s">
        <v>66</v>
      </c>
      <c r="J20" s="54">
        <f>2*G22/F22</f>
        <v>640000000</v>
      </c>
    </row>
    <row r="21" spans="2:10">
      <c r="B21" s="13" t="s">
        <v>136</v>
      </c>
      <c r="C21" s="14"/>
      <c r="D21" s="103">
        <v>1</v>
      </c>
      <c r="E21" s="67" t="s">
        <v>138</v>
      </c>
      <c r="F21" s="57"/>
      <c r="G21" s="58">
        <f>G23*4+C22*4</f>
        <v>16</v>
      </c>
      <c r="H21" s="46"/>
      <c r="I21" s="53" t="s">
        <v>94</v>
      </c>
      <c r="J21" s="54">
        <f>2*G24/F24</f>
        <v>640000000</v>
      </c>
    </row>
    <row r="22" spans="2:10">
      <c r="B22" s="15" t="s">
        <v>141</v>
      </c>
      <c r="C22" s="49">
        <v>0</v>
      </c>
      <c r="D22" s="104"/>
      <c r="E22" s="67" t="s">
        <v>91</v>
      </c>
      <c r="F22" s="56">
        <v>1</v>
      </c>
      <c r="G22" s="58">
        <f>IF(C24&gt;0,G23*40000000/(D21/2),C22*40000000/(D21/2))</f>
        <v>320000000</v>
      </c>
      <c r="H22" s="46"/>
      <c r="I22" s="53" t="s">
        <v>71</v>
      </c>
      <c r="J22" s="54">
        <f>2*G24/F24</f>
        <v>640000000</v>
      </c>
    </row>
    <row r="23" spans="2:10">
      <c r="B23" s="59" t="s">
        <v>139</v>
      </c>
      <c r="C23" s="17"/>
      <c r="D23" s="103">
        <v>1</v>
      </c>
      <c r="E23" s="66" t="s">
        <v>137</v>
      </c>
      <c r="F23" s="61"/>
      <c r="G23" s="64">
        <f>C24*4</f>
        <v>4</v>
      </c>
      <c r="H23" s="47"/>
      <c r="I23" s="40"/>
    </row>
    <row r="24" spans="2:10">
      <c r="B24" s="18" t="s">
        <v>141</v>
      </c>
      <c r="C24" s="49">
        <v>1</v>
      </c>
      <c r="D24" s="104"/>
      <c r="E24" s="61" t="s">
        <v>140</v>
      </c>
      <c r="F24" s="63">
        <v>1</v>
      </c>
      <c r="G24" s="64">
        <f>IF(C24&gt;0,C24*160000000/(D23/2),0)</f>
        <v>320000000</v>
      </c>
      <c r="H24" s="47"/>
      <c r="I24" s="42"/>
    </row>
    <row r="25" spans="2:10">
      <c r="B25" s="60"/>
      <c r="C25" s="60"/>
      <c r="D25" s="44"/>
      <c r="E25" s="60"/>
      <c r="F25" s="44"/>
      <c r="G25" s="91"/>
      <c r="H25" s="89"/>
    </row>
    <row r="26" spans="2:10">
      <c r="B26" s="42"/>
      <c r="C26" s="42"/>
      <c r="D26" s="43"/>
      <c r="E26" s="42"/>
      <c r="F26" s="43"/>
      <c r="G26" s="90"/>
      <c r="H26" s="89"/>
    </row>
    <row r="27" spans="2:10">
      <c r="B27" s="42"/>
      <c r="C27" s="42"/>
      <c r="D27" s="43"/>
      <c r="E27" s="42"/>
      <c r="F27" s="43"/>
      <c r="G27" s="90"/>
      <c r="H27" s="89"/>
    </row>
    <row r="28" spans="2:10">
      <c r="B28" s="42"/>
      <c r="C28" s="42"/>
      <c r="D28" s="43"/>
      <c r="E28" s="42"/>
      <c r="F28" s="43"/>
      <c r="G28" s="90"/>
      <c r="H28" s="89"/>
    </row>
    <row r="29" spans="2:10">
      <c r="B29" s="42"/>
      <c r="C29" s="42"/>
      <c r="D29" s="43"/>
      <c r="E29" s="42"/>
      <c r="F29" s="43"/>
      <c r="G29" s="90"/>
      <c r="H29" s="89"/>
    </row>
    <row r="30" spans="2:10">
      <c r="B30" s="42"/>
      <c r="C30" s="42"/>
      <c r="D30" s="43"/>
      <c r="E30" s="42"/>
      <c r="F30" s="43"/>
      <c r="G30" s="90"/>
      <c r="H30" s="89"/>
    </row>
    <row r="31" spans="2:10">
      <c r="B31" s="42"/>
      <c r="C31" s="42"/>
      <c r="D31" s="43"/>
      <c r="E31" s="42"/>
      <c r="F31" s="43"/>
      <c r="G31" s="90"/>
      <c r="H31" s="89"/>
    </row>
    <row r="32" spans="2:10">
      <c r="B32" s="42"/>
      <c r="C32" s="42"/>
      <c r="D32" s="43"/>
      <c r="E32" s="42"/>
      <c r="F32" s="43"/>
      <c r="G32" s="90"/>
      <c r="H32" s="89"/>
    </row>
    <row r="33" spans="2:11">
      <c r="B33" s="42"/>
      <c r="C33" s="42"/>
      <c r="D33" s="43"/>
      <c r="E33" s="42"/>
      <c r="F33" s="43"/>
      <c r="G33" s="90"/>
      <c r="H33" s="89"/>
    </row>
    <row r="34" spans="2:11">
      <c r="B34" s="42"/>
      <c r="C34" s="42"/>
      <c r="D34" s="43"/>
      <c r="E34" s="42"/>
      <c r="F34" s="43"/>
      <c r="G34" s="90"/>
      <c r="H34" s="89"/>
    </row>
    <row r="35" spans="2:11">
      <c r="B35" s="42"/>
      <c r="C35" s="42"/>
      <c r="D35" s="43"/>
      <c r="E35" s="42"/>
      <c r="F35" s="43"/>
      <c r="G35" s="90"/>
      <c r="H35" s="89"/>
      <c r="K35" s="7"/>
    </row>
    <row r="36" spans="2:11">
      <c r="B36" s="42"/>
      <c r="C36" s="42"/>
      <c r="D36" s="43"/>
      <c r="E36" s="42"/>
      <c r="F36" s="43"/>
      <c r="G36" s="90"/>
      <c r="H36" s="89"/>
      <c r="K36" s="7"/>
    </row>
    <row r="37" spans="2:11">
      <c r="B37" s="42"/>
      <c r="C37" s="42"/>
      <c r="D37" s="43"/>
      <c r="E37" s="42"/>
      <c r="F37" s="43"/>
      <c r="G37" s="90"/>
      <c r="H37" s="89"/>
      <c r="K37" s="7"/>
    </row>
    <row r="38" spans="2:11">
      <c r="B38" s="42"/>
      <c r="C38" s="42"/>
      <c r="D38" s="43"/>
      <c r="E38" s="42"/>
      <c r="F38" s="43"/>
      <c r="G38" s="90"/>
      <c r="H38" s="89"/>
      <c r="K38" s="7"/>
    </row>
    <row r="39" spans="2:11">
      <c r="B39" s="42"/>
      <c r="C39" s="42"/>
      <c r="D39" s="43"/>
      <c r="E39" s="42"/>
      <c r="F39" s="43"/>
      <c r="G39" s="90"/>
      <c r="H39" s="89"/>
      <c r="K39" s="8"/>
    </row>
    <row r="40" spans="2:11">
      <c r="B40" s="42"/>
      <c r="C40" s="42"/>
      <c r="D40" s="43"/>
      <c r="E40" s="42"/>
      <c r="F40" s="43"/>
      <c r="G40" s="90"/>
      <c r="H40" s="89"/>
      <c r="K40" s="8"/>
    </row>
    <row r="41" spans="2:11">
      <c r="B41" s="42"/>
      <c r="C41" s="42"/>
      <c r="D41" s="43"/>
      <c r="E41" s="42"/>
      <c r="F41" s="43"/>
      <c r="G41" s="90"/>
      <c r="H41" s="89"/>
      <c r="K41" s="8"/>
    </row>
    <row r="42" spans="2:11">
      <c r="B42" s="42"/>
      <c r="C42" s="42"/>
      <c r="D42" s="43"/>
      <c r="E42" s="42"/>
      <c r="F42" s="43"/>
      <c r="G42" s="90"/>
      <c r="H42" s="89"/>
      <c r="K42" s="8"/>
    </row>
    <row r="43" spans="2:11">
      <c r="B43" s="42"/>
      <c r="C43" s="42"/>
      <c r="D43" s="43"/>
      <c r="E43" s="42"/>
      <c r="F43" s="43"/>
      <c r="G43" s="90"/>
      <c r="H43" s="89"/>
      <c r="K43" s="8"/>
    </row>
    <row r="44" spans="2:11">
      <c r="B44" s="42"/>
      <c r="C44" s="42"/>
      <c r="D44" s="43"/>
      <c r="E44" s="42"/>
      <c r="F44" s="43"/>
      <c r="G44" s="90"/>
      <c r="H44" s="89"/>
      <c r="K44" s="8"/>
    </row>
    <row r="45" spans="2:11">
      <c r="B45" s="42"/>
      <c r="C45" s="42"/>
      <c r="D45" s="43"/>
      <c r="E45" s="42"/>
      <c r="F45" s="43"/>
      <c r="G45" s="90"/>
      <c r="H45" s="89"/>
      <c r="K45" s="8"/>
    </row>
    <row r="46" spans="2:11">
      <c r="B46" s="42"/>
      <c r="C46" s="42"/>
      <c r="D46" s="43"/>
      <c r="E46" s="42"/>
      <c r="F46" s="43"/>
      <c r="G46" s="90"/>
      <c r="H46" s="89"/>
      <c r="K46" s="8"/>
    </row>
    <row r="47" spans="2:11">
      <c r="B47" s="42"/>
      <c r="C47" s="42"/>
      <c r="D47" s="43"/>
      <c r="E47" s="42"/>
      <c r="F47" s="43"/>
      <c r="G47" s="90"/>
      <c r="H47" s="89"/>
      <c r="K47" s="8"/>
    </row>
    <row r="48" spans="2:11">
      <c r="B48" s="42"/>
      <c r="C48" s="42"/>
      <c r="D48" s="43"/>
      <c r="E48" s="42"/>
      <c r="F48" s="43"/>
      <c r="G48" s="90"/>
      <c r="H48" s="89"/>
      <c r="K48" s="8"/>
    </row>
    <row r="49" spans="2:11">
      <c r="B49" s="42"/>
      <c r="C49" s="42"/>
      <c r="D49" s="43"/>
      <c r="E49" s="42"/>
      <c r="F49" s="43"/>
      <c r="G49" s="90"/>
      <c r="H49" s="89"/>
      <c r="K49" s="8"/>
    </row>
    <row r="50" spans="2:11">
      <c r="B50" s="42"/>
      <c r="C50" s="42"/>
      <c r="D50" s="43"/>
      <c r="E50" s="42"/>
      <c r="F50" s="43"/>
      <c r="G50" s="90"/>
      <c r="H50" s="89"/>
      <c r="K50" s="8"/>
    </row>
    <row r="51" spans="2:11">
      <c r="B51" s="42"/>
      <c r="C51" s="42"/>
      <c r="D51" s="43"/>
      <c r="E51" s="42"/>
      <c r="F51" s="43"/>
      <c r="G51" s="90"/>
      <c r="H51" s="89"/>
      <c r="K51" s="8"/>
    </row>
    <row r="52" spans="2:11">
      <c r="B52" s="42"/>
      <c r="C52" s="42"/>
      <c r="D52" s="43"/>
      <c r="E52" s="42"/>
      <c r="F52" s="43"/>
      <c r="G52" s="90"/>
      <c r="H52" s="89"/>
      <c r="K52" s="8"/>
    </row>
    <row r="53" spans="2:11">
      <c r="B53" s="42"/>
      <c r="C53" s="42"/>
      <c r="D53" s="43"/>
      <c r="E53" s="42"/>
      <c r="F53" s="43"/>
      <c r="G53" s="90"/>
      <c r="H53" s="89"/>
      <c r="K53" s="8"/>
    </row>
    <row r="54" spans="2:11">
      <c r="B54" s="42"/>
      <c r="C54" s="42"/>
      <c r="D54" s="43"/>
      <c r="E54" s="42"/>
      <c r="F54" s="43"/>
      <c r="G54" s="90"/>
      <c r="H54" s="89"/>
      <c r="K54" s="8"/>
    </row>
    <row r="55" spans="2:11">
      <c r="B55" s="42"/>
      <c r="C55" s="42"/>
      <c r="D55" s="43"/>
      <c r="E55" s="42"/>
      <c r="F55" s="43"/>
      <c r="G55" s="90"/>
      <c r="H55" s="89"/>
      <c r="K55" s="8"/>
    </row>
    <row r="56" spans="2:11">
      <c r="B56" s="42"/>
      <c r="C56" s="42"/>
      <c r="D56" s="43"/>
      <c r="E56" s="42"/>
      <c r="F56" s="43"/>
      <c r="G56" s="90"/>
      <c r="H56" s="89"/>
      <c r="K56" s="8"/>
    </row>
    <row r="57" spans="2:11">
      <c r="B57" s="42"/>
      <c r="C57" s="42"/>
      <c r="D57" s="43"/>
      <c r="E57" s="42"/>
      <c r="F57" s="43"/>
      <c r="G57" s="90"/>
      <c r="H57" s="89"/>
      <c r="K57" s="8"/>
    </row>
    <row r="58" spans="2:11">
      <c r="B58" s="42"/>
      <c r="C58" s="42"/>
      <c r="D58" s="43"/>
      <c r="E58" s="42"/>
      <c r="F58" s="43"/>
      <c r="G58" s="90"/>
      <c r="H58" s="89"/>
      <c r="K58" s="8"/>
    </row>
    <row r="59" spans="2:11">
      <c r="B59" s="42"/>
      <c r="C59" s="42"/>
      <c r="D59" s="43"/>
      <c r="E59" s="42"/>
      <c r="F59" s="43"/>
      <c r="G59" s="90"/>
      <c r="H59" s="89"/>
      <c r="K59" s="8"/>
    </row>
    <row r="60" spans="2:11">
      <c r="B60" s="42"/>
      <c r="C60" s="42"/>
      <c r="D60" s="43"/>
      <c r="E60" s="42"/>
      <c r="F60" s="43"/>
      <c r="G60" s="90"/>
      <c r="H60" s="89"/>
      <c r="K60" s="8"/>
    </row>
    <row r="61" spans="2:11">
      <c r="B61" s="42"/>
      <c r="C61" s="42"/>
      <c r="D61" s="43"/>
      <c r="E61" s="42"/>
      <c r="F61" s="43"/>
      <c r="G61" s="90"/>
      <c r="H61" s="89"/>
      <c r="K61" s="8"/>
    </row>
    <row r="62" spans="2:11">
      <c r="B62" s="42"/>
      <c r="C62" s="42"/>
      <c r="D62" s="43"/>
      <c r="E62" s="42"/>
      <c r="F62" s="43"/>
      <c r="G62" s="90"/>
      <c r="H62" s="89"/>
      <c r="K62" s="8"/>
    </row>
    <row r="63" spans="2:11">
      <c r="B63" s="42"/>
      <c r="C63" s="42"/>
      <c r="D63" s="43"/>
      <c r="E63" s="42"/>
      <c r="F63" s="43"/>
      <c r="G63" s="90"/>
      <c r="H63" s="89"/>
      <c r="K63" s="8"/>
    </row>
    <row r="64" spans="2:11">
      <c r="B64" s="42"/>
      <c r="C64" s="42"/>
      <c r="D64" s="43"/>
      <c r="E64" s="42"/>
      <c r="F64" s="43"/>
      <c r="G64" s="90"/>
      <c r="H64" s="89"/>
      <c r="K64" s="8"/>
    </row>
    <row r="65" spans="2:11">
      <c r="B65" s="42"/>
      <c r="C65" s="42"/>
      <c r="D65" s="43"/>
      <c r="E65" s="42"/>
      <c r="F65" s="43"/>
      <c r="G65" s="90"/>
      <c r="H65" s="89"/>
      <c r="K65" s="8"/>
    </row>
    <row r="66" spans="2:11">
      <c r="B66" s="42"/>
      <c r="C66" s="42"/>
      <c r="D66" s="43"/>
      <c r="E66" s="42"/>
      <c r="F66" s="43"/>
      <c r="G66" s="90"/>
      <c r="H66" s="89"/>
      <c r="K66" s="8"/>
    </row>
    <row r="67" spans="2:11">
      <c r="B67" s="42"/>
      <c r="C67" s="42"/>
      <c r="D67" s="43"/>
      <c r="E67" s="42"/>
      <c r="F67" s="43"/>
      <c r="G67" s="90"/>
      <c r="H67" s="89"/>
      <c r="K67" s="8"/>
    </row>
    <row r="68" spans="2:11">
      <c r="B68" s="42"/>
      <c r="C68" s="42"/>
      <c r="D68" s="43"/>
      <c r="E68" s="42"/>
      <c r="F68" s="43"/>
      <c r="G68" s="90"/>
      <c r="H68" s="89"/>
      <c r="K68" s="8"/>
    </row>
    <row r="69" spans="2:11">
      <c r="B69" s="42"/>
      <c r="C69" s="42"/>
      <c r="D69" s="43"/>
      <c r="E69" s="42"/>
      <c r="F69" s="43"/>
      <c r="G69" s="90"/>
      <c r="H69" s="89"/>
      <c r="K69" s="8"/>
    </row>
    <row r="70" spans="2:11">
      <c r="B70" s="42"/>
      <c r="C70" s="42"/>
      <c r="D70" s="43"/>
      <c r="E70" s="42"/>
      <c r="F70" s="43"/>
      <c r="G70" s="90"/>
      <c r="H70" s="89"/>
      <c r="K70" s="8"/>
    </row>
    <row r="71" spans="2:11">
      <c r="B71" s="42"/>
      <c r="C71" s="42"/>
      <c r="D71" s="43"/>
      <c r="E71" s="42"/>
      <c r="F71" s="43"/>
      <c r="G71" s="90"/>
      <c r="H71" s="89"/>
      <c r="K71" s="8"/>
    </row>
    <row r="72" spans="2:11">
      <c r="B72" s="42"/>
      <c r="C72" s="42"/>
      <c r="D72" s="43"/>
      <c r="E72" s="42"/>
      <c r="F72" s="43"/>
      <c r="G72" s="90"/>
      <c r="H72" s="89"/>
      <c r="K72" s="8"/>
    </row>
    <row r="73" spans="2:11">
      <c r="B73" s="42"/>
      <c r="C73" s="42"/>
      <c r="D73" s="43"/>
      <c r="E73" s="42"/>
      <c r="F73" s="43"/>
      <c r="G73" s="90"/>
      <c r="H73" s="89"/>
    </row>
    <row r="74" spans="2:11">
      <c r="B74" s="42"/>
      <c r="C74" s="42"/>
      <c r="D74" s="43"/>
      <c r="E74" s="42"/>
      <c r="F74" s="43"/>
      <c r="G74" s="90"/>
      <c r="H74" s="89"/>
    </row>
    <row r="75" spans="2:11">
      <c r="B75" s="42"/>
      <c r="C75" s="42"/>
      <c r="D75" s="43"/>
      <c r="E75" s="42"/>
      <c r="F75" s="43"/>
      <c r="G75" s="90"/>
      <c r="H75" s="89"/>
    </row>
    <row r="76" spans="2:11">
      <c r="B76" s="42"/>
      <c r="C76" s="42"/>
      <c r="D76" s="43"/>
      <c r="E76" s="42"/>
      <c r="F76" s="43"/>
      <c r="G76" s="90"/>
      <c r="H76" s="89"/>
    </row>
    <row r="77" spans="2:11">
      <c r="B77" s="42"/>
      <c r="C77" s="42"/>
      <c r="D77" s="43"/>
      <c r="E77" s="42"/>
      <c r="F77" s="43"/>
      <c r="G77" s="90"/>
      <c r="H77" s="89"/>
    </row>
    <row r="78" spans="2:11">
      <c r="B78" s="42"/>
      <c r="C78" s="42"/>
      <c r="D78" s="43"/>
      <c r="E78" s="42"/>
      <c r="F78" s="43"/>
      <c r="G78" s="90"/>
      <c r="H78" s="89"/>
    </row>
    <row r="79" spans="2:11">
      <c r="B79" s="42"/>
      <c r="C79" s="42"/>
      <c r="D79" s="43"/>
      <c r="E79" s="42"/>
      <c r="F79" s="43"/>
      <c r="G79" s="90"/>
      <c r="H79" s="89"/>
    </row>
    <row r="80" spans="2:11">
      <c r="B80" s="42"/>
      <c r="C80" s="42"/>
      <c r="D80" s="43"/>
      <c r="E80" s="42"/>
      <c r="F80" s="43"/>
      <c r="G80" s="90"/>
      <c r="H80" s="89"/>
    </row>
    <row r="81" spans="2:8">
      <c r="B81" s="42"/>
      <c r="C81" s="42"/>
      <c r="D81" s="43"/>
      <c r="E81" s="42"/>
      <c r="F81" s="43"/>
      <c r="G81" s="90"/>
      <c r="H81" s="89"/>
    </row>
    <row r="82" spans="2:8">
      <c r="B82" s="42"/>
      <c r="C82" s="42"/>
      <c r="D82" s="43"/>
      <c r="E82" s="42"/>
      <c r="F82" s="43"/>
      <c r="G82" s="90"/>
    </row>
  </sheetData>
  <mergeCells count="13">
    <mergeCell ref="E5:G5"/>
    <mergeCell ref="D23:D24"/>
    <mergeCell ref="D19:D20"/>
    <mergeCell ref="D15:D16"/>
    <mergeCell ref="D11:D12"/>
    <mergeCell ref="B5:D5"/>
    <mergeCell ref="B6:C6"/>
    <mergeCell ref="F7:F8"/>
    <mergeCell ref="D13:D14"/>
    <mergeCell ref="D17:D18"/>
    <mergeCell ref="D21:D22"/>
    <mergeCell ref="D7:D8"/>
    <mergeCell ref="D9:D1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1:J27"/>
  <sheetViews>
    <sheetView zoomScaleNormal="100" workbookViewId="0">
      <selection activeCell="G25" sqref="G25"/>
    </sheetView>
  </sheetViews>
  <sheetFormatPr baseColWidth="10" defaultRowHeight="15"/>
  <cols>
    <col min="1" max="1" width="1" style="1" customWidth="1"/>
    <col min="2" max="2" width="30.140625" style="1" customWidth="1"/>
    <col min="3" max="3" width="4.28515625" style="1" customWidth="1"/>
    <col min="4" max="4" width="4" style="2" bestFit="1" customWidth="1"/>
    <col min="5" max="5" width="23.5703125" style="1" customWidth="1"/>
    <col min="6" max="6" width="4" style="2" customWidth="1"/>
    <col min="7" max="7" width="31.28515625" style="25" customWidth="1"/>
    <col min="8" max="8" width="1.5703125" style="1" customWidth="1"/>
    <col min="9" max="9" width="13.42578125" style="2" customWidth="1"/>
    <col min="10" max="10" width="25.42578125" style="1" customWidth="1"/>
    <col min="11" max="11" width="8.5703125" style="1" customWidth="1"/>
    <col min="12" max="16384" width="11.42578125" style="1"/>
  </cols>
  <sheetData>
    <row r="1" spans="2:10">
      <c r="B1" s="1" t="s">
        <v>30</v>
      </c>
      <c r="E1" s="11"/>
      <c r="F1" s="36" t="s">
        <v>148</v>
      </c>
    </row>
    <row r="2" spans="2:10">
      <c r="E2" s="3"/>
    </row>
    <row r="3" spans="2:10">
      <c r="B3" s="24" t="s">
        <v>147</v>
      </c>
      <c r="C3" s="4"/>
      <c r="H3" s="5" t="s">
        <v>32</v>
      </c>
    </row>
    <row r="5" spans="2:10">
      <c r="B5" s="94" t="s">
        <v>29</v>
      </c>
      <c r="C5" s="94"/>
      <c r="D5" s="94"/>
      <c r="E5" s="95" t="s">
        <v>7</v>
      </c>
      <c r="F5" s="96"/>
      <c r="G5" s="97"/>
      <c r="I5" s="95" t="s">
        <v>8</v>
      </c>
      <c r="J5" s="108"/>
    </row>
    <row r="6" spans="2:10">
      <c r="B6" s="98" t="s">
        <v>28</v>
      </c>
      <c r="C6" s="97"/>
      <c r="D6" s="6" t="s">
        <v>31</v>
      </c>
      <c r="E6" s="33" t="s">
        <v>28</v>
      </c>
      <c r="F6" s="6" t="s">
        <v>31</v>
      </c>
      <c r="G6" s="26" t="s">
        <v>84</v>
      </c>
      <c r="I6" s="33" t="s">
        <v>28</v>
      </c>
      <c r="J6" s="6" t="s">
        <v>84</v>
      </c>
    </row>
    <row r="7" spans="2:10">
      <c r="B7" s="99" t="s">
        <v>95</v>
      </c>
      <c r="C7" s="109"/>
      <c r="D7" s="103">
        <v>1</v>
      </c>
      <c r="E7" s="78" t="s">
        <v>9</v>
      </c>
      <c r="F7" s="103">
        <v>1</v>
      </c>
      <c r="G7" s="71">
        <f>IF((C10+C12+C14+C16+C18+C20+C22+C24)&gt;0,G9*2400/(D7/2),C8*2400/(D7/2))</f>
        <v>0</v>
      </c>
      <c r="I7" s="55" t="s">
        <v>10</v>
      </c>
      <c r="J7" s="52">
        <f>2*G7/F7</f>
        <v>0</v>
      </c>
    </row>
    <row r="8" spans="2:10">
      <c r="B8" s="12" t="s">
        <v>141</v>
      </c>
      <c r="C8" s="50">
        <v>0</v>
      </c>
      <c r="D8" s="104"/>
      <c r="E8" s="79"/>
      <c r="F8" s="104"/>
      <c r="G8" s="72"/>
      <c r="I8" s="53" t="s">
        <v>11</v>
      </c>
      <c r="J8" s="54">
        <f>2*G10/F10</f>
        <v>0</v>
      </c>
    </row>
    <row r="9" spans="2:10">
      <c r="B9" s="13" t="s">
        <v>97</v>
      </c>
      <c r="C9" s="16"/>
      <c r="D9" s="103">
        <v>1</v>
      </c>
      <c r="E9" s="87" t="s">
        <v>96</v>
      </c>
      <c r="F9" s="74"/>
      <c r="G9" s="73">
        <f>(G11+C10)*4</f>
        <v>0</v>
      </c>
      <c r="I9" s="53" t="s">
        <v>49</v>
      </c>
      <c r="J9" s="54">
        <f>2*G12/F12+2*G10/F10</f>
        <v>0</v>
      </c>
    </row>
    <row r="10" spans="2:10">
      <c r="B10" s="15" t="s">
        <v>141</v>
      </c>
      <c r="C10" s="49">
        <v>0</v>
      </c>
      <c r="D10" s="104"/>
      <c r="E10" s="74" t="s">
        <v>99</v>
      </c>
      <c r="F10" s="75">
        <v>1</v>
      </c>
      <c r="G10" s="73">
        <f>IF((C12+C14+C16+C18+C20+C22+C24)&gt;0,G11*9800/(D9/2),C10*9800/(D9/2))</f>
        <v>0</v>
      </c>
      <c r="I10" s="53" t="s">
        <v>18</v>
      </c>
      <c r="J10" s="54">
        <f>2*G14/F14+2*G12/F12</f>
        <v>0</v>
      </c>
    </row>
    <row r="11" spans="2:10">
      <c r="B11" s="35" t="s">
        <v>100</v>
      </c>
      <c r="C11" s="17"/>
      <c r="D11" s="103">
        <v>1</v>
      </c>
      <c r="E11" s="77" t="s">
        <v>98</v>
      </c>
      <c r="F11" s="78"/>
      <c r="G11" s="71">
        <f>(G13+C12)*4</f>
        <v>0</v>
      </c>
      <c r="I11" s="53" t="s">
        <v>17</v>
      </c>
      <c r="J11" s="54">
        <f>2*G16/F16+2*G14/F14</f>
        <v>0</v>
      </c>
    </row>
    <row r="12" spans="2:10">
      <c r="B12" s="18" t="s">
        <v>141</v>
      </c>
      <c r="C12" s="49">
        <v>0</v>
      </c>
      <c r="D12" s="104"/>
      <c r="E12" s="77" t="s">
        <v>102</v>
      </c>
      <c r="F12" s="75">
        <v>1</v>
      </c>
      <c r="G12" s="71">
        <f>IF((C14+C16+C18+C20+C22+C24)&gt;0,G13*39000/(D11/2),C12*39000/(D11/2))</f>
        <v>0</v>
      </c>
      <c r="I12" s="53" t="s">
        <v>13</v>
      </c>
      <c r="J12" s="54">
        <f>2*G18/F18</f>
        <v>0</v>
      </c>
    </row>
    <row r="13" spans="2:10">
      <c r="B13" s="13" t="s">
        <v>103</v>
      </c>
      <c r="C13" s="14"/>
      <c r="D13" s="103">
        <v>1</v>
      </c>
      <c r="E13" s="80" t="s">
        <v>101</v>
      </c>
      <c r="F13" s="74"/>
      <c r="G13" s="73">
        <f>(G15+C14)*4</f>
        <v>0</v>
      </c>
      <c r="I13" s="53" t="s">
        <v>27</v>
      </c>
      <c r="J13" s="54">
        <f>2*G18/F18+2*G16/F16</f>
        <v>0</v>
      </c>
    </row>
    <row r="14" spans="2:10">
      <c r="B14" s="15" t="s">
        <v>141</v>
      </c>
      <c r="C14" s="49">
        <v>0</v>
      </c>
      <c r="D14" s="104"/>
      <c r="E14" s="80" t="s">
        <v>105</v>
      </c>
      <c r="F14" s="75">
        <v>1</v>
      </c>
      <c r="G14" s="73">
        <f>IF((C16+C18+C20+C22+C24)&gt;0,G15*160000/(D13/2),C14*160000/(D13/2))</f>
        <v>0</v>
      </c>
      <c r="I14" s="53" t="s">
        <v>58</v>
      </c>
      <c r="J14" s="54">
        <f>2*G20/F20</f>
        <v>0</v>
      </c>
    </row>
    <row r="15" spans="2:10">
      <c r="B15" s="34" t="s">
        <v>106</v>
      </c>
      <c r="C15" s="17"/>
      <c r="D15" s="103">
        <v>1</v>
      </c>
      <c r="E15" s="77" t="s">
        <v>104</v>
      </c>
      <c r="F15" s="78"/>
      <c r="G15" s="71">
        <f>(G17+C16)*4</f>
        <v>0</v>
      </c>
      <c r="I15" s="53" t="s">
        <v>62</v>
      </c>
      <c r="J15" s="54">
        <f>2*G20/F20</f>
        <v>0</v>
      </c>
    </row>
    <row r="16" spans="2:10">
      <c r="B16" s="18" t="s">
        <v>141</v>
      </c>
      <c r="C16" s="49">
        <v>0</v>
      </c>
      <c r="D16" s="104"/>
      <c r="E16" s="77" t="s">
        <v>108</v>
      </c>
      <c r="F16" s="75">
        <v>1</v>
      </c>
      <c r="G16" s="71">
        <f>IF((C18+C20+C22+C24)&gt;0,G17*630000/(D15/2),C16*630000/(D15/2))</f>
        <v>0</v>
      </c>
      <c r="I16" s="53" t="s">
        <v>79</v>
      </c>
      <c r="J16" s="54">
        <f>2*G22/F22</f>
        <v>0</v>
      </c>
    </row>
    <row r="17" spans="2:10">
      <c r="B17" s="13" t="s">
        <v>110</v>
      </c>
      <c r="C17" s="14"/>
      <c r="D17" s="103">
        <v>1</v>
      </c>
      <c r="E17" s="80" t="s">
        <v>107</v>
      </c>
      <c r="F17" s="74"/>
      <c r="G17" s="73">
        <f>(G19+C18)*4</f>
        <v>0</v>
      </c>
      <c r="I17" s="53" t="s">
        <v>66</v>
      </c>
      <c r="J17" s="54">
        <f>2*G22/F22</f>
        <v>0</v>
      </c>
    </row>
    <row r="18" spans="2:10">
      <c r="B18" s="15" t="s">
        <v>141</v>
      </c>
      <c r="C18" s="49">
        <v>0</v>
      </c>
      <c r="D18" s="104"/>
      <c r="E18" s="80" t="s">
        <v>76</v>
      </c>
      <c r="F18" s="75">
        <v>1</v>
      </c>
      <c r="G18" s="73">
        <f>IF((C20+C22+C24)&gt;0,G19*2500000/(D17/2),C18*2500000/(D17/2))</f>
        <v>0</v>
      </c>
      <c r="I18" s="53" t="s">
        <v>94</v>
      </c>
      <c r="J18" s="54">
        <f>2*G24/F24</f>
        <v>0</v>
      </c>
    </row>
    <row r="19" spans="2:10">
      <c r="B19" s="35" t="s">
        <v>111</v>
      </c>
      <c r="C19" s="17"/>
      <c r="D19" s="103">
        <v>1</v>
      </c>
      <c r="E19" s="77" t="s">
        <v>109</v>
      </c>
      <c r="F19" s="78"/>
      <c r="G19" s="71">
        <f>(G21+C20)*4</f>
        <v>0</v>
      </c>
      <c r="I19" s="53" t="s">
        <v>71</v>
      </c>
      <c r="J19" s="54">
        <f>2*G24/F24</f>
        <v>0</v>
      </c>
    </row>
    <row r="20" spans="2:10">
      <c r="B20" s="18" t="s">
        <v>141</v>
      </c>
      <c r="C20" s="49">
        <v>0</v>
      </c>
      <c r="D20" s="104"/>
      <c r="E20" s="77" t="s">
        <v>113</v>
      </c>
      <c r="F20" s="75">
        <v>1</v>
      </c>
      <c r="G20" s="71">
        <f>IF((C22+C24)&gt;0,G21*10000000/(D19/2),C20*10000000/(D19/2))</f>
        <v>0</v>
      </c>
      <c r="J20" s="8"/>
    </row>
    <row r="21" spans="2:10">
      <c r="B21" s="13" t="s">
        <v>118</v>
      </c>
      <c r="C21" s="115"/>
      <c r="D21" s="103">
        <v>1</v>
      </c>
      <c r="E21" s="74" t="s">
        <v>112</v>
      </c>
      <c r="F21" s="74"/>
      <c r="G21" s="73">
        <f>(G23+C22)*4</f>
        <v>0</v>
      </c>
      <c r="J21" s="8"/>
    </row>
    <row r="22" spans="2:10">
      <c r="B22" s="15" t="s">
        <v>141</v>
      </c>
      <c r="C22" s="49">
        <v>0</v>
      </c>
      <c r="D22" s="104"/>
      <c r="E22" s="80" t="s">
        <v>91</v>
      </c>
      <c r="F22" s="75">
        <v>1</v>
      </c>
      <c r="G22" s="73">
        <f>IF(C24&gt;0,G23*40000000/(D21/2),C22*40000000/(D21/2))</f>
        <v>0</v>
      </c>
      <c r="J22" s="8"/>
    </row>
    <row r="23" spans="2:10">
      <c r="B23" s="34" t="s">
        <v>117</v>
      </c>
      <c r="C23" s="114"/>
      <c r="D23" s="103">
        <v>1</v>
      </c>
      <c r="E23" s="78" t="s">
        <v>92</v>
      </c>
      <c r="F23" s="78"/>
      <c r="G23" s="71">
        <f>C24*4</f>
        <v>0</v>
      </c>
      <c r="J23" s="8"/>
    </row>
    <row r="24" spans="2:10">
      <c r="B24" s="18" t="s">
        <v>141</v>
      </c>
      <c r="C24" s="49">
        <v>0</v>
      </c>
      <c r="D24" s="104"/>
      <c r="E24" s="77" t="s">
        <v>93</v>
      </c>
      <c r="F24" s="75">
        <v>1</v>
      </c>
      <c r="G24" s="71">
        <f>IF(C24&gt;0,C24*160000000/(D23/2),0)</f>
        <v>0</v>
      </c>
      <c r="J24" s="8"/>
    </row>
    <row r="25" spans="2:10">
      <c r="J25" s="8"/>
    </row>
    <row r="26" spans="2:10">
      <c r="J26" s="8"/>
    </row>
    <row r="27" spans="2:10">
      <c r="J27" s="8"/>
    </row>
  </sheetData>
  <mergeCells count="15">
    <mergeCell ref="D9:D10"/>
    <mergeCell ref="D11:D12"/>
    <mergeCell ref="D15:D16"/>
    <mergeCell ref="D19:D20"/>
    <mergeCell ref="D23:D24"/>
    <mergeCell ref="D21:D22"/>
    <mergeCell ref="D17:D18"/>
    <mergeCell ref="D13:D14"/>
    <mergeCell ref="I5:J5"/>
    <mergeCell ref="B5:D5"/>
    <mergeCell ref="E5:G5"/>
    <mergeCell ref="B6:C6"/>
    <mergeCell ref="B7:C7"/>
    <mergeCell ref="D7:D8"/>
    <mergeCell ref="F7:F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1:J56"/>
  <sheetViews>
    <sheetView tabSelected="1" topLeftCell="A3" workbookViewId="0">
      <selection activeCell="J25" sqref="J25"/>
    </sheetView>
  </sheetViews>
  <sheetFormatPr baseColWidth="10" defaultRowHeight="15"/>
  <cols>
    <col min="1" max="1" width="1.5703125" style="1" customWidth="1"/>
    <col min="2" max="2" width="30.140625" style="1" customWidth="1"/>
    <col min="3" max="3" width="3.28515625" style="1" customWidth="1"/>
    <col min="4" max="4" width="4" style="2" bestFit="1" customWidth="1"/>
    <col min="5" max="5" width="23.5703125" style="1" customWidth="1"/>
    <col min="6" max="6" width="4" style="2" customWidth="1"/>
    <col min="7" max="7" width="31.28515625" style="25" customWidth="1"/>
    <col min="8" max="8" width="1.5703125" style="1" customWidth="1"/>
    <col min="9" max="9" width="13.42578125" style="2" customWidth="1"/>
    <col min="10" max="10" width="25.42578125" style="1" customWidth="1"/>
    <col min="11" max="11" width="8.5703125" style="1" customWidth="1"/>
    <col min="12" max="16384" width="11.42578125" style="1"/>
  </cols>
  <sheetData>
    <row r="1" spans="2:10">
      <c r="B1" s="1" t="s">
        <v>30</v>
      </c>
      <c r="E1" s="11"/>
      <c r="F1" s="36" t="s">
        <v>146</v>
      </c>
    </row>
    <row r="2" spans="2:10">
      <c r="E2" s="3"/>
    </row>
    <row r="3" spans="2:10">
      <c r="B3" s="24" t="s">
        <v>147</v>
      </c>
      <c r="C3" s="4"/>
      <c r="H3" s="5" t="s">
        <v>32</v>
      </c>
    </row>
    <row r="5" spans="2:10">
      <c r="B5" s="94" t="s">
        <v>29</v>
      </c>
      <c r="C5" s="94"/>
      <c r="D5" s="94"/>
      <c r="E5" s="95" t="s">
        <v>7</v>
      </c>
      <c r="F5" s="96"/>
      <c r="G5" s="97"/>
      <c r="I5" s="95" t="s">
        <v>8</v>
      </c>
      <c r="J5" s="108"/>
    </row>
    <row r="6" spans="2:10">
      <c r="B6" s="98" t="s">
        <v>28</v>
      </c>
      <c r="C6" s="97"/>
      <c r="D6" s="6" t="s">
        <v>31</v>
      </c>
      <c r="E6" s="51" t="s">
        <v>28</v>
      </c>
      <c r="F6" s="6" t="s">
        <v>31</v>
      </c>
      <c r="G6" s="26" t="s">
        <v>84</v>
      </c>
      <c r="I6" s="51" t="s">
        <v>28</v>
      </c>
      <c r="J6" s="6" t="s">
        <v>84</v>
      </c>
    </row>
    <row r="7" spans="2:10">
      <c r="B7" s="82" t="s">
        <v>2</v>
      </c>
      <c r="C7" s="17"/>
      <c r="D7" s="103">
        <v>1</v>
      </c>
      <c r="E7" s="78" t="s">
        <v>19</v>
      </c>
      <c r="F7" s="103">
        <v>1</v>
      </c>
      <c r="G7" s="71">
        <f>IF((C10+C12+C14+C16+C18+C20+C22+C24)&gt;0,G9*4900/(D7/2),C8*4900/(D7/2))</f>
        <v>0</v>
      </c>
      <c r="I7" s="55" t="s">
        <v>10</v>
      </c>
      <c r="J7" s="52">
        <f>2*G7/F7</f>
        <v>0</v>
      </c>
    </row>
    <row r="8" spans="2:10">
      <c r="B8" s="12" t="s">
        <v>141</v>
      </c>
      <c r="C8" s="32">
        <v>0</v>
      </c>
      <c r="D8" s="104"/>
      <c r="E8" s="79"/>
      <c r="F8" s="104"/>
      <c r="G8" s="72"/>
      <c r="I8" s="55" t="s">
        <v>14</v>
      </c>
      <c r="J8" s="52">
        <f>2*G7/F7+2*G10/F10</f>
        <v>0</v>
      </c>
    </row>
    <row r="9" spans="2:10">
      <c r="B9" s="13" t="s">
        <v>3</v>
      </c>
      <c r="C9" s="14"/>
      <c r="D9" s="103">
        <v>1</v>
      </c>
      <c r="E9" s="116" t="s">
        <v>21</v>
      </c>
      <c r="F9" s="74"/>
      <c r="G9" s="73">
        <f>(G11+C10)*4</f>
        <v>0</v>
      </c>
      <c r="I9" s="53" t="s">
        <v>11</v>
      </c>
      <c r="J9" s="54">
        <f>2*G10/F10</f>
        <v>0</v>
      </c>
    </row>
    <row r="10" spans="2:10">
      <c r="B10" s="15" t="s">
        <v>141</v>
      </c>
      <c r="C10" s="32">
        <v>0</v>
      </c>
      <c r="D10" s="104"/>
      <c r="E10" s="74" t="s">
        <v>20</v>
      </c>
      <c r="F10" s="75">
        <v>1</v>
      </c>
      <c r="G10" s="73">
        <f>IF((C12+C14+C16+C18+C20+C22+C24)&gt;0,G11*20000/(D9/2),C10*20000/(D9/2))</f>
        <v>0</v>
      </c>
      <c r="I10" s="53" t="s">
        <v>16</v>
      </c>
      <c r="J10" s="54">
        <f>2*G12/F12+2*G14/F14</f>
        <v>0</v>
      </c>
    </row>
    <row r="11" spans="2:10">
      <c r="B11" s="82" t="s">
        <v>4</v>
      </c>
      <c r="C11" s="17"/>
      <c r="D11" s="103">
        <v>1</v>
      </c>
      <c r="E11" s="77" t="s">
        <v>22</v>
      </c>
      <c r="F11" s="78"/>
      <c r="G11" s="71">
        <f>(G13+C12)*4</f>
        <v>0</v>
      </c>
      <c r="I11" s="53" t="s">
        <v>15</v>
      </c>
      <c r="J11" s="54">
        <f>2*G12/F12</f>
        <v>0</v>
      </c>
    </row>
    <row r="12" spans="2:10">
      <c r="B12" s="18" t="s">
        <v>141</v>
      </c>
      <c r="C12" s="32">
        <v>0</v>
      </c>
      <c r="D12" s="104"/>
      <c r="E12" s="77" t="s">
        <v>26</v>
      </c>
      <c r="F12" s="75">
        <v>1</v>
      </c>
      <c r="G12" s="71">
        <f>IF((C14+C16+C18+C20+C22+C24)&gt;0,G13*79000/(D11/2),C12*79000/(D11/2))</f>
        <v>0</v>
      </c>
      <c r="I12" s="53" t="s">
        <v>18</v>
      </c>
      <c r="J12" s="54">
        <f>2*G14/F14</f>
        <v>0</v>
      </c>
    </row>
    <row r="13" spans="2:10">
      <c r="B13" s="13" t="s">
        <v>5</v>
      </c>
      <c r="C13" s="14"/>
      <c r="D13" s="103">
        <v>1</v>
      </c>
      <c r="E13" s="80" t="s">
        <v>33</v>
      </c>
      <c r="F13" s="74"/>
      <c r="G13" s="73">
        <f>(G15+C14)*4</f>
        <v>0</v>
      </c>
      <c r="I13" s="53" t="s">
        <v>13</v>
      </c>
      <c r="J13" s="54">
        <f>2*G16/F16</f>
        <v>0</v>
      </c>
    </row>
    <row r="14" spans="2:10">
      <c r="B14" s="15" t="s">
        <v>141</v>
      </c>
      <c r="C14" s="32">
        <v>0</v>
      </c>
      <c r="D14" s="104"/>
      <c r="E14" s="74" t="s">
        <v>23</v>
      </c>
      <c r="F14" s="75">
        <v>1</v>
      </c>
      <c r="G14" s="73">
        <f>IF((C16+C18+C20+C22+C24)&gt;0,G15*310000/(D13/2),C14*310000/(D13/2))</f>
        <v>0</v>
      </c>
      <c r="I14" s="53" t="s">
        <v>12</v>
      </c>
      <c r="J14" s="54">
        <f>2*G16/F16+2*G18/F18</f>
        <v>0</v>
      </c>
    </row>
    <row r="15" spans="2:10">
      <c r="B15" s="82" t="s">
        <v>6</v>
      </c>
      <c r="C15" s="17"/>
      <c r="D15" s="103">
        <v>1</v>
      </c>
      <c r="E15" s="77" t="s">
        <v>24</v>
      </c>
      <c r="F15" s="78"/>
      <c r="G15" s="71">
        <f>(G17+C16)*4</f>
        <v>0</v>
      </c>
      <c r="I15" s="53" t="s">
        <v>57</v>
      </c>
      <c r="J15" s="54">
        <f>2*G18/F18+2*G20/F20</f>
        <v>0</v>
      </c>
    </row>
    <row r="16" spans="2:10">
      <c r="B16" s="18" t="s">
        <v>141</v>
      </c>
      <c r="C16" s="32">
        <v>0</v>
      </c>
      <c r="D16" s="104"/>
      <c r="E16" s="77" t="s">
        <v>25</v>
      </c>
      <c r="F16" s="75">
        <v>1</v>
      </c>
      <c r="G16" s="71">
        <f>IF((C18+C20+C22+C24)&gt;0,G17*1300000/(D15/2),C16*1300000/(D15/2))</f>
        <v>0</v>
      </c>
      <c r="I16" s="53" t="s">
        <v>62</v>
      </c>
      <c r="J16" s="54">
        <f>2*G20/F20+2*G22/F22</f>
        <v>0</v>
      </c>
    </row>
    <row r="17" spans="2:10">
      <c r="B17" s="13" t="s">
        <v>89</v>
      </c>
      <c r="C17" s="14"/>
      <c r="D17" s="103">
        <v>1</v>
      </c>
      <c r="E17" s="80" t="s">
        <v>87</v>
      </c>
      <c r="F17" s="74"/>
      <c r="G17" s="73">
        <f>(G19+C18)*4</f>
        <v>0</v>
      </c>
      <c r="I17" s="53" t="s">
        <v>66</v>
      </c>
      <c r="J17" s="54">
        <f>2*G22/F22</f>
        <v>0</v>
      </c>
    </row>
    <row r="18" spans="2:10">
      <c r="B18" s="15" t="s">
        <v>141</v>
      </c>
      <c r="C18" s="32">
        <v>0</v>
      </c>
      <c r="D18" s="104"/>
      <c r="E18" s="74" t="s">
        <v>86</v>
      </c>
      <c r="F18" s="75">
        <v>1</v>
      </c>
      <c r="G18" s="73">
        <f>IF((C20+C22+C24)&gt;0,G19*5000000/(D17/2),C18*5000000/(D17/2))</f>
        <v>0</v>
      </c>
      <c r="I18" s="53" t="s">
        <v>71</v>
      </c>
      <c r="J18" s="54">
        <f>2*G24/F24</f>
        <v>0</v>
      </c>
    </row>
    <row r="19" spans="2:10">
      <c r="B19" s="82" t="s">
        <v>88</v>
      </c>
      <c r="C19" s="17"/>
      <c r="D19" s="103">
        <v>1</v>
      </c>
      <c r="E19" s="77" t="s">
        <v>85</v>
      </c>
      <c r="F19" s="78"/>
      <c r="G19" s="71">
        <f>(G21+C20)*4</f>
        <v>0</v>
      </c>
      <c r="I19" s="53" t="s">
        <v>94</v>
      </c>
      <c r="J19" s="54">
        <f>2*G24/F24</f>
        <v>0</v>
      </c>
    </row>
    <row r="20" spans="2:10">
      <c r="B20" s="18" t="s">
        <v>141</v>
      </c>
      <c r="C20" s="32">
        <v>0</v>
      </c>
      <c r="D20" s="104"/>
      <c r="E20" s="77" t="s">
        <v>61</v>
      </c>
      <c r="F20" s="75">
        <v>1</v>
      </c>
      <c r="G20" s="71">
        <f>IF((C22+C24)&gt;0,G21*15000000/(D19/2),C20*15000000/(D19/2))</f>
        <v>0</v>
      </c>
    </row>
    <row r="21" spans="2:10">
      <c r="B21" s="13" t="s">
        <v>115</v>
      </c>
      <c r="C21" s="14"/>
      <c r="D21" s="103">
        <v>1</v>
      </c>
      <c r="E21" s="74" t="s">
        <v>90</v>
      </c>
      <c r="F21" s="74"/>
      <c r="G21" s="73">
        <f>(G23+C22)*4</f>
        <v>0</v>
      </c>
    </row>
    <row r="22" spans="2:10">
      <c r="B22" s="15" t="s">
        <v>141</v>
      </c>
      <c r="C22" s="32">
        <v>0</v>
      </c>
      <c r="D22" s="104"/>
      <c r="E22" s="80" t="s">
        <v>65</v>
      </c>
      <c r="F22" s="75">
        <v>1</v>
      </c>
      <c r="G22" s="73">
        <f>IF(C24&gt;0,G23*60000000/(D21/2),C22*60000000/(D21/2))</f>
        <v>0</v>
      </c>
    </row>
    <row r="23" spans="2:10">
      <c r="B23" s="82" t="s">
        <v>116</v>
      </c>
      <c r="C23" s="17"/>
      <c r="D23" s="103">
        <v>1</v>
      </c>
      <c r="E23" s="78" t="s">
        <v>114</v>
      </c>
      <c r="F23" s="78"/>
      <c r="G23" s="71">
        <f>C24*4</f>
        <v>0</v>
      </c>
    </row>
    <row r="24" spans="2:10">
      <c r="B24" s="12" t="s">
        <v>141</v>
      </c>
      <c r="C24" s="32">
        <v>0</v>
      </c>
      <c r="D24" s="104"/>
      <c r="E24" s="77" t="s">
        <v>119</v>
      </c>
      <c r="F24" s="75">
        <v>1</v>
      </c>
      <c r="G24" s="54">
        <f>IF(C24&gt;0,C24*240000000/(D23/2),0)</f>
        <v>0</v>
      </c>
    </row>
    <row r="26" spans="2:10">
      <c r="J26" s="7"/>
    </row>
    <row r="27" spans="2:10">
      <c r="J27" s="7"/>
    </row>
    <row r="28" spans="2:10">
      <c r="J28" s="7"/>
    </row>
    <row r="29" spans="2:10">
      <c r="J29" s="8"/>
    </row>
    <row r="30" spans="2:10">
      <c r="J30" s="8"/>
    </row>
    <row r="31" spans="2:10">
      <c r="J31" s="8"/>
    </row>
    <row r="32" spans="2:10">
      <c r="J32" s="8"/>
    </row>
    <row r="33" spans="10:10">
      <c r="J33" s="8"/>
    </row>
    <row r="34" spans="10:10">
      <c r="J34" s="8"/>
    </row>
    <row r="35" spans="10:10">
      <c r="J35" s="8"/>
    </row>
    <row r="36" spans="10:10">
      <c r="J36" s="8"/>
    </row>
    <row r="37" spans="10:10">
      <c r="J37" s="8"/>
    </row>
    <row r="38" spans="10:10">
      <c r="J38" s="8"/>
    </row>
    <row r="39" spans="10:10">
      <c r="J39" s="8"/>
    </row>
    <row r="40" spans="10:10">
      <c r="J40" s="8"/>
    </row>
    <row r="41" spans="10:10">
      <c r="J41" s="8"/>
    </row>
    <row r="42" spans="10:10">
      <c r="J42" s="8"/>
    </row>
    <row r="43" spans="10:10">
      <c r="J43" s="8"/>
    </row>
    <row r="44" spans="10:10">
      <c r="J44" s="8"/>
    </row>
    <row r="45" spans="10:10">
      <c r="J45" s="8"/>
    </row>
    <row r="46" spans="10:10">
      <c r="J46" s="8"/>
    </row>
    <row r="47" spans="10:10">
      <c r="J47" s="8"/>
    </row>
    <row r="48" spans="10:10">
      <c r="J48" s="8"/>
    </row>
    <row r="49" spans="10:10">
      <c r="J49" s="8"/>
    </row>
    <row r="50" spans="10:10">
      <c r="J50" s="8"/>
    </row>
    <row r="51" spans="10:10">
      <c r="J51" s="8"/>
    </row>
    <row r="52" spans="10:10">
      <c r="J52" s="8"/>
    </row>
    <row r="53" spans="10:10">
      <c r="J53" s="8"/>
    </row>
    <row r="54" spans="10:10">
      <c r="J54" s="8"/>
    </row>
    <row r="55" spans="10:10">
      <c r="J55" s="8"/>
    </row>
    <row r="56" spans="10:10">
      <c r="J56" s="8"/>
    </row>
  </sheetData>
  <mergeCells count="14">
    <mergeCell ref="F7:F8"/>
    <mergeCell ref="D11:D12"/>
    <mergeCell ref="D7:D8"/>
    <mergeCell ref="D21:D22"/>
    <mergeCell ref="D17:D18"/>
    <mergeCell ref="D13:D14"/>
    <mergeCell ref="D9:D10"/>
    <mergeCell ref="I5:J5"/>
    <mergeCell ref="B6:C6"/>
    <mergeCell ref="B5:D5"/>
    <mergeCell ref="E5:G5"/>
    <mergeCell ref="D19:D20"/>
    <mergeCell ref="D15:D16"/>
    <mergeCell ref="D23:D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labo</vt:lpstr>
      <vt:lpstr>extra</vt:lpstr>
      <vt:lpstr>NRJ</vt:lpstr>
      <vt:lpstr>terra</vt:lpstr>
      <vt:lpstr>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Enfants</dc:creator>
  <cp:lastModifiedBy>Enfants</cp:lastModifiedBy>
  <dcterms:created xsi:type="dcterms:W3CDTF">2013-06-24T01:31:38Z</dcterms:created>
  <dcterms:modified xsi:type="dcterms:W3CDTF">2013-06-29T10:42:37Z</dcterms:modified>
</cp:coreProperties>
</file>