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45" windowWidth="20115" windowHeight="7695" tabRatio="634" activeTab="7"/>
  </bookViews>
  <sheets>
    <sheet name="À FAIRE - Détails" sheetId="9" r:id="rId1"/>
    <sheet name="À FAIRE - Sommaire" sheetId="16" r:id="rId2"/>
    <sheet name="Bâtiments" sheetId="3" state="hidden" r:id="rId3"/>
    <sheet name="Amélirations Sorts &amp; Troupes " sheetId="12" state="hidden" r:id="rId4"/>
    <sheet name="Héros" sheetId="10" state="hidden" r:id="rId5"/>
    <sheet name="Coûts" sheetId="8" state="hidden" r:id="rId6"/>
    <sheet name="Paramètres" sheetId="2" r:id="rId7"/>
    <sheet name="ChangeLog" sheetId="14" r:id="rId8"/>
  </sheets>
  <externalReferences>
    <externalReference r:id="rId9"/>
  </externalReferences>
  <definedNames>
    <definedName name="_xlnm._FilterDatabase" localSheetId="7" hidden="1">ChangeLog!$F$2:$I$3</definedName>
    <definedName name="Actual" localSheetId="1">('À FAIRE - Sommaire'!PeriodInActual*(#REF!&gt;0))*'À FAIRE - Sommaire'!PeriodInPlan</definedName>
    <definedName name="Actual">(PeriodInActual*(#REF!&gt;0))*PeriodInPlan</definedName>
    <definedName name="ActualBeyond" localSheetId="1">'À FAIRE - Sommaire'!PeriodInActual*(#REF!&gt;0)</definedName>
    <definedName name="ActualBeyond">PeriodInActual*(#REF!&gt;0)</definedName>
    <definedName name="Niveau_HDV">Paramètres!$AV$2</definedName>
    <definedName name="PercentComplete" localSheetId="1">'À FAIRE - Sommaire'!PercentCompleteBeyond*'À FAIRE - Sommaire'!PeriodInPlan</definedName>
    <definedName name="PercentComplete">PercentCompleteBeyond*PeriodInPlan</definedName>
    <definedName name="PercentCompleteBeyond" localSheetId="1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1">#REF!</definedName>
    <definedName name="period_selected">#REF!</definedName>
    <definedName name="PeriodInActual" localSheetId="1">#REF!=MEDIAN(#REF!,#REF!,#REF!+#REF!-1)</definedName>
    <definedName name="PeriodInActual">#REF!=MEDIAN(#REF!,#REF!,#REF!+#REF!-1)</definedName>
    <definedName name="PeriodInPlan" localSheetId="1">#REF!=MEDIAN(#REF!,#REF!,#REF!+#REF!-1)</definedName>
    <definedName name="PeriodInPlan">#REF!=MEDIAN(#REF!,#REF!,#REF!+#REF!-1)</definedName>
    <definedName name="Plan" localSheetId="1">'À FAIRE - Sommaire'!PeriodInPlan*(#REF!&gt;0)</definedName>
    <definedName name="Plan">PeriodInPlan*(#REF!&gt;0)</definedName>
  </definedNames>
  <calcPr calcId="145621"/>
</workbook>
</file>

<file path=xl/calcChain.xml><?xml version="1.0" encoding="utf-8"?>
<calcChain xmlns="http://schemas.openxmlformats.org/spreadsheetml/2006/main">
  <c r="G3" i="14" l="1"/>
  <c r="B3" i="14"/>
  <c r="B4" i="14"/>
  <c r="B5" i="14"/>
  <c r="B6" i="14"/>
  <c r="B7" i="14"/>
  <c r="B8" i="14"/>
  <c r="B9" i="14"/>
  <c r="B10" i="14"/>
  <c r="B11" i="14"/>
  <c r="B12" i="14"/>
  <c r="B13" i="14"/>
  <c r="V1" i="16" l="1"/>
  <c r="Y3" i="2" l="1"/>
  <c r="B3" i="2" l="1"/>
  <c r="C3" i="2"/>
  <c r="A1" i="16" l="1"/>
  <c r="AT48" i="2" l="1"/>
  <c r="AT64" i="2" s="1"/>
  <c r="AS48" i="2"/>
  <c r="AO48" i="2"/>
  <c r="AO60" i="2" s="1"/>
  <c r="AP48" i="2"/>
  <c r="AP77" i="2" s="1"/>
  <c r="AQ48" i="2"/>
  <c r="AN48" i="2"/>
  <c r="AN51" i="2" s="1"/>
  <c r="AE48" i="2"/>
  <c r="AE57" i="2" s="1"/>
  <c r="AF48" i="2"/>
  <c r="AF59" i="2" s="1"/>
  <c r="AG48" i="2"/>
  <c r="AH48" i="2"/>
  <c r="AH62" i="2" s="1"/>
  <c r="AI48" i="2"/>
  <c r="AI52" i="2" s="1"/>
  <c r="AJ48" i="2"/>
  <c r="AJ71" i="2" s="1"/>
  <c r="AK48" i="2"/>
  <c r="AL48" i="2"/>
  <c r="AL60" i="2" s="1"/>
  <c r="AM48" i="2"/>
  <c r="AM53" i="2" s="1"/>
  <c r="AD48" i="2"/>
  <c r="AD60" i="2" s="1"/>
  <c r="Z48" i="2"/>
  <c r="Z69" i="2" s="1"/>
  <c r="AA48" i="2"/>
  <c r="AA56" i="2" s="1"/>
  <c r="AB48" i="2"/>
  <c r="AB85" i="2" s="1"/>
  <c r="AC48" i="2"/>
  <c r="Y48" i="2"/>
  <c r="Y51" i="2" s="1"/>
  <c r="W48" i="2"/>
  <c r="W79" i="2" s="1"/>
  <c r="V48" i="2"/>
  <c r="V74" i="2" s="1"/>
  <c r="N48" i="2"/>
  <c r="O48" i="2"/>
  <c r="P48" i="2"/>
  <c r="Q48" i="2"/>
  <c r="Q63" i="2" s="1"/>
  <c r="R48" i="2"/>
  <c r="R59" i="2" s="1"/>
  <c r="S48" i="2"/>
  <c r="S66" i="2" s="1"/>
  <c r="T48" i="2"/>
  <c r="U48" i="2"/>
  <c r="U73" i="2" s="1"/>
  <c r="M48" i="2"/>
  <c r="M67" i="2" s="1"/>
  <c r="I48" i="2"/>
  <c r="J48" i="2"/>
  <c r="K48" i="2"/>
  <c r="K72" i="2" s="1"/>
  <c r="L48" i="2"/>
  <c r="H48" i="2"/>
  <c r="C48" i="2"/>
  <c r="C52" i="2" s="1"/>
  <c r="D48" i="2"/>
  <c r="D51" i="2" s="1"/>
  <c r="E48" i="2"/>
  <c r="E53" i="2" s="1"/>
  <c r="F48" i="2"/>
  <c r="F49" i="2" s="1"/>
  <c r="G48" i="2"/>
  <c r="G61" i="2" s="1"/>
  <c r="B48" i="2"/>
  <c r="B50" i="2" s="1"/>
  <c r="Z78" i="2" l="1"/>
  <c r="Z54" i="2"/>
  <c r="Y72" i="2"/>
  <c r="AP86" i="2"/>
  <c r="Y88" i="2"/>
  <c r="Y49" i="2"/>
  <c r="Y56" i="2"/>
  <c r="Z86" i="2"/>
  <c r="Z82" i="2"/>
  <c r="M84" i="2"/>
  <c r="W75" i="2"/>
  <c r="Y80" i="2"/>
  <c r="Z85" i="2"/>
  <c r="Z77" i="2"/>
  <c r="AT80" i="2"/>
  <c r="M85" i="2"/>
  <c r="Y64" i="2"/>
  <c r="Z81" i="2"/>
  <c r="B72" i="2"/>
  <c r="D82" i="2"/>
  <c r="D63" i="2"/>
  <c r="Q88" i="2"/>
  <c r="V86" i="2"/>
  <c r="V85" i="2"/>
  <c r="V84" i="2"/>
  <c r="V83" i="2"/>
  <c r="V82" i="2"/>
  <c r="Q81" i="2"/>
  <c r="K80" i="2"/>
  <c r="U78" i="2"/>
  <c r="Q77" i="2"/>
  <c r="U74" i="2"/>
  <c r="K73" i="2"/>
  <c r="U71" i="2"/>
  <c r="U68" i="2"/>
  <c r="U65" i="2"/>
  <c r="K62" i="2"/>
  <c r="AL88" i="2"/>
  <c r="AL83" i="2"/>
  <c r="AH82" i="2"/>
  <c r="AJ81" i="2"/>
  <c r="AJ80" i="2"/>
  <c r="AN78" i="2"/>
  <c r="AN73" i="2"/>
  <c r="AD71" i="2"/>
  <c r="AN68" i="2"/>
  <c r="AN66" i="2"/>
  <c r="AF64" i="2"/>
  <c r="AL56" i="2"/>
  <c r="B68" i="2"/>
  <c r="D79" i="2"/>
  <c r="D54" i="2"/>
  <c r="W87" i="2"/>
  <c r="U86" i="2"/>
  <c r="U85" i="2"/>
  <c r="U84" i="2"/>
  <c r="U83" i="2"/>
  <c r="U82" i="2"/>
  <c r="K81" i="2"/>
  <c r="V79" i="2"/>
  <c r="Q78" i="2"/>
  <c r="K77" i="2"/>
  <c r="V75" i="2"/>
  <c r="Q74" i="2"/>
  <c r="V72" i="2"/>
  <c r="Q70" i="2"/>
  <c r="K65" i="2"/>
  <c r="U60" i="2"/>
  <c r="Y86" i="2"/>
  <c r="Y70" i="2"/>
  <c r="Y54" i="2"/>
  <c r="AJ88" i="2"/>
  <c r="AN86" i="2"/>
  <c r="AP85" i="2"/>
  <c r="AL84" i="2"/>
  <c r="AF83" i="2"/>
  <c r="AF82" i="2"/>
  <c r="AH81" i="2"/>
  <c r="AN79" i="2"/>
  <c r="AH78" i="2"/>
  <c r="AH76" i="2"/>
  <c r="Z73" i="2"/>
  <c r="AL70" i="2"/>
  <c r="AP67" i="2"/>
  <c r="AB66" i="2"/>
  <c r="AH63" i="2"/>
  <c r="AP54" i="2"/>
  <c r="B88" i="2"/>
  <c r="B60" i="2"/>
  <c r="D71" i="2"/>
  <c r="V88" i="2"/>
  <c r="V87" i="2"/>
  <c r="Q86" i="2"/>
  <c r="Q83" i="2"/>
  <c r="K82" i="2"/>
  <c r="U80" i="2"/>
  <c r="U79" i="2"/>
  <c r="K78" i="2"/>
  <c r="V76" i="2"/>
  <c r="Q75" i="2"/>
  <c r="K74" i="2"/>
  <c r="U72" i="2"/>
  <c r="V69" i="2"/>
  <c r="K67" i="2"/>
  <c r="Q64" i="2"/>
  <c r="AN87" i="2"/>
  <c r="AH86" i="2"/>
  <c r="AH85" i="2"/>
  <c r="AD84" i="2"/>
  <c r="AD83" i="2"/>
  <c r="AL79" i="2"/>
  <c r="AL74" i="2"/>
  <c r="AH72" i="2"/>
  <c r="AL69" i="2"/>
  <c r="AL67" i="2"/>
  <c r="AP65" i="2"/>
  <c r="B84" i="2"/>
  <c r="B52" i="2"/>
  <c r="D66" i="2"/>
  <c r="U88" i="2"/>
  <c r="Q87" i="2"/>
  <c r="K86" i="2"/>
  <c r="K85" i="2"/>
  <c r="K84" i="2"/>
  <c r="K83" i="2"/>
  <c r="U81" i="2"/>
  <c r="Q80" i="2"/>
  <c r="K79" i="2"/>
  <c r="V77" i="2"/>
  <c r="Q76" i="2"/>
  <c r="Q69" i="2"/>
  <c r="Q66" i="2"/>
  <c r="Y78" i="2"/>
  <c r="Y62" i="2"/>
  <c r="AL87" i="2"/>
  <c r="AF86" i="2"/>
  <c r="AN83" i="2"/>
  <c r="AN82" i="2"/>
  <c r="AP81" i="2"/>
  <c r="AL80" i="2"/>
  <c r="AP78" i="2"/>
  <c r="AF74" i="2"/>
  <c r="AH69" i="2"/>
  <c r="Z67" i="2"/>
  <c r="Z65" i="2"/>
  <c r="AA51" i="2"/>
  <c r="H54" i="2"/>
  <c r="H51" i="2"/>
  <c r="H52" i="2"/>
  <c r="I61" i="2"/>
  <c r="I63" i="2"/>
  <c r="I68" i="2"/>
  <c r="I65" i="2"/>
  <c r="I67" i="2"/>
  <c r="I73" i="2"/>
  <c r="I74" i="2"/>
  <c r="O55" i="2"/>
  <c r="O59" i="2"/>
  <c r="O60" i="2"/>
  <c r="O62" i="2"/>
  <c r="O67" i="2"/>
  <c r="O56" i="2"/>
  <c r="O64" i="2"/>
  <c r="O66" i="2"/>
  <c r="O70" i="2"/>
  <c r="O83" i="2"/>
  <c r="S78" i="2"/>
  <c r="O74" i="2"/>
  <c r="S73" i="2"/>
  <c r="S71" i="2"/>
  <c r="S70" i="2"/>
  <c r="O68" i="2"/>
  <c r="I66" i="2"/>
  <c r="S64" i="2"/>
  <c r="O58" i="2"/>
  <c r="H50" i="2"/>
  <c r="AS65" i="2"/>
  <c r="AS81" i="2"/>
  <c r="M71" i="2"/>
  <c r="M69" i="2"/>
  <c r="S82" i="2"/>
  <c r="I82" i="2"/>
  <c r="I81" i="2"/>
  <c r="I80" i="2"/>
  <c r="S79" i="2"/>
  <c r="I79" i="2"/>
  <c r="O77" i="2"/>
  <c r="O76" i="2"/>
  <c r="O75" i="2"/>
  <c r="O73" i="2"/>
  <c r="I72" i="2"/>
  <c r="O71" i="2"/>
  <c r="O69" i="2"/>
  <c r="M68" i="2"/>
  <c r="O63" i="2"/>
  <c r="I62" i="2"/>
  <c r="S60" i="2"/>
  <c r="O57" i="2"/>
  <c r="H49" i="2"/>
  <c r="AB57" i="2"/>
  <c r="AB61" i="2"/>
  <c r="AB68" i="2"/>
  <c r="AB78" i="2"/>
  <c r="AB82" i="2"/>
  <c r="AB86" i="2"/>
  <c r="AB53" i="2"/>
  <c r="AB70" i="2"/>
  <c r="AB71" i="2"/>
  <c r="AB75" i="2"/>
  <c r="AB79" i="2"/>
  <c r="AB83" i="2"/>
  <c r="AB87" i="2"/>
  <c r="AB84" i="2"/>
  <c r="AB76" i="2"/>
  <c r="AB64" i="2"/>
  <c r="AT49" i="2"/>
  <c r="AT50" i="2"/>
  <c r="AT58" i="2"/>
  <c r="AT66" i="2"/>
  <c r="AT74" i="2"/>
  <c r="AT82" i="2"/>
  <c r="AT52" i="2"/>
  <c r="AT60" i="2"/>
  <c r="AT68" i="2"/>
  <c r="AT76" i="2"/>
  <c r="AT84" i="2"/>
  <c r="AT78" i="2"/>
  <c r="AT62" i="2"/>
  <c r="K64" i="2"/>
  <c r="K66" i="2"/>
  <c r="K69" i="2"/>
  <c r="K70" i="2"/>
  <c r="K61" i="2"/>
  <c r="K63" i="2"/>
  <c r="K68" i="2"/>
  <c r="U64" i="2"/>
  <c r="U66" i="2"/>
  <c r="U70" i="2"/>
  <c r="U61" i="2"/>
  <c r="U63" i="2"/>
  <c r="U69" i="2"/>
  <c r="Q65" i="2"/>
  <c r="Q68" i="2"/>
  <c r="Q60" i="2"/>
  <c r="Q62" i="2"/>
  <c r="Q67" i="2"/>
  <c r="Q71" i="2"/>
  <c r="Q72" i="2"/>
  <c r="Q73" i="2"/>
  <c r="V59" i="2"/>
  <c r="V70" i="2"/>
  <c r="B76" i="2"/>
  <c r="B56" i="2"/>
  <c r="E78" i="2"/>
  <c r="D57" i="2"/>
  <c r="S88" i="2"/>
  <c r="K88" i="2"/>
  <c r="U87" i="2"/>
  <c r="K87" i="2"/>
  <c r="S86" i="2"/>
  <c r="I86" i="2"/>
  <c r="Q85" i="2"/>
  <c r="I85" i="2"/>
  <c r="Q84" i="2"/>
  <c r="I84" i="2"/>
  <c r="S83" i="2"/>
  <c r="I83" i="2"/>
  <c r="Q82" i="2"/>
  <c r="V81" i="2"/>
  <c r="O81" i="2"/>
  <c r="V80" i="2"/>
  <c r="O80" i="2"/>
  <c r="Q79" i="2"/>
  <c r="V78" i="2"/>
  <c r="O78" i="2"/>
  <c r="U77" i="2"/>
  <c r="M77" i="2"/>
  <c r="U76" i="2"/>
  <c r="K76" i="2"/>
  <c r="U75" i="2"/>
  <c r="K75" i="2"/>
  <c r="S74" i="2"/>
  <c r="V73" i="2"/>
  <c r="M73" i="2"/>
  <c r="S72" i="2"/>
  <c r="V71" i="2"/>
  <c r="K71" i="2"/>
  <c r="I70" i="2"/>
  <c r="I69" i="2"/>
  <c r="U67" i="2"/>
  <c r="O65" i="2"/>
  <c r="I64" i="2"/>
  <c r="U62" i="2"/>
  <c r="Q61" i="2"/>
  <c r="K60" i="2"/>
  <c r="O54" i="2"/>
  <c r="AD52" i="2"/>
  <c r="AD67" i="2"/>
  <c r="AD81" i="2"/>
  <c r="AD85" i="2"/>
  <c r="AD69" i="2"/>
  <c r="AD74" i="2"/>
  <c r="AD78" i="2"/>
  <c r="AD82" i="2"/>
  <c r="AD86" i="2"/>
  <c r="AJ49" i="2"/>
  <c r="AJ64" i="2"/>
  <c r="AJ72" i="2"/>
  <c r="AJ76" i="2"/>
  <c r="AJ78" i="2"/>
  <c r="AJ82" i="2"/>
  <c r="AJ86" i="2"/>
  <c r="AJ66" i="2"/>
  <c r="AJ79" i="2"/>
  <c r="AJ83" i="2"/>
  <c r="AJ87" i="2"/>
  <c r="AF66" i="2"/>
  <c r="AF73" i="2"/>
  <c r="AF80" i="2"/>
  <c r="AF84" i="2"/>
  <c r="AF88" i="2"/>
  <c r="AF68" i="2"/>
  <c r="AF81" i="2"/>
  <c r="AF85" i="2"/>
  <c r="AP69" i="2"/>
  <c r="AP79" i="2"/>
  <c r="AP83" i="2"/>
  <c r="AP87" i="2"/>
  <c r="AP63" i="2"/>
  <c r="AP72" i="2"/>
  <c r="AP76" i="2"/>
  <c r="AP80" i="2"/>
  <c r="AP84" i="2"/>
  <c r="AP88" i="2"/>
  <c r="AD88" i="2"/>
  <c r="AF87" i="2"/>
  <c r="AJ85" i="2"/>
  <c r="AP82" i="2"/>
  <c r="AB81" i="2"/>
  <c r="AD80" i="2"/>
  <c r="AF79" i="2"/>
  <c r="AF77" i="2"/>
  <c r="AJ75" i="2"/>
  <c r="AP73" i="2"/>
  <c r="AD65" i="2"/>
  <c r="AJ57" i="2"/>
  <c r="AF51" i="2"/>
  <c r="AT88" i="2"/>
  <c r="AT72" i="2"/>
  <c r="AT56" i="2"/>
  <c r="S54" i="2"/>
  <c r="S61" i="2"/>
  <c r="S63" i="2"/>
  <c r="S69" i="2"/>
  <c r="S65" i="2"/>
  <c r="S68" i="2"/>
  <c r="O88" i="2"/>
  <c r="O86" i="2"/>
  <c r="S81" i="2"/>
  <c r="S80" i="2"/>
  <c r="I78" i="2"/>
  <c r="I77" i="2"/>
  <c r="AC55" i="2"/>
  <c r="AC58" i="2"/>
  <c r="AC73" i="2"/>
  <c r="M88" i="2"/>
  <c r="O87" i="2"/>
  <c r="S85" i="2"/>
  <c r="S84" i="2"/>
  <c r="W61" i="2"/>
  <c r="W59" i="2"/>
  <c r="W71" i="2"/>
  <c r="I88" i="2"/>
  <c r="S87" i="2"/>
  <c r="I87" i="2"/>
  <c r="O85" i="2"/>
  <c r="O84" i="2"/>
  <c r="W83" i="2"/>
  <c r="O82" i="2"/>
  <c r="M81" i="2"/>
  <c r="M80" i="2"/>
  <c r="O79" i="2"/>
  <c r="S77" i="2"/>
  <c r="S76" i="2"/>
  <c r="I76" i="2"/>
  <c r="S75" i="2"/>
  <c r="I75" i="2"/>
  <c r="O72" i="2"/>
  <c r="I71" i="2"/>
  <c r="S67" i="2"/>
  <c r="W63" i="2"/>
  <c r="S62" i="2"/>
  <c r="O61" i="2"/>
  <c r="I60" i="2"/>
  <c r="H53" i="2"/>
  <c r="AB88" i="2"/>
  <c r="AD87" i="2"/>
  <c r="AJ84" i="2"/>
  <c r="AB80" i="2"/>
  <c r="AD79" i="2"/>
  <c r="AF78" i="2"/>
  <c r="AD75" i="2"/>
  <c r="AB72" i="2"/>
  <c r="AF70" i="2"/>
  <c r="AJ68" i="2"/>
  <c r="AP62" i="2"/>
  <c r="AT86" i="2"/>
  <c r="AT70" i="2"/>
  <c r="AT54" i="2"/>
  <c r="Y84" i="2"/>
  <c r="Y76" i="2"/>
  <c r="Y68" i="2"/>
  <c r="Y60" i="2"/>
  <c r="Y52" i="2"/>
  <c r="AH88" i="2"/>
  <c r="Z88" i="2"/>
  <c r="AL86" i="2"/>
  <c r="AN85" i="2"/>
  <c r="AH84" i="2"/>
  <c r="Z84" i="2"/>
  <c r="AL82" i="2"/>
  <c r="AN81" i="2"/>
  <c r="AH80" i="2"/>
  <c r="Z80" i="2"/>
  <c r="AL78" i="2"/>
  <c r="AN77" i="2"/>
  <c r="Z76" i="2"/>
  <c r="AH73" i="2"/>
  <c r="Z72" i="2"/>
  <c r="AH67" i="2"/>
  <c r="AL65" i="2"/>
  <c r="AN64" i="2"/>
  <c r="Z62" i="2"/>
  <c r="AH58" i="2"/>
  <c r="AN55" i="2"/>
  <c r="AH50" i="2"/>
  <c r="Y82" i="2"/>
  <c r="Y74" i="2"/>
  <c r="Y66" i="2"/>
  <c r="Y58" i="2"/>
  <c r="Y50" i="2"/>
  <c r="AN88" i="2"/>
  <c r="AH87" i="2"/>
  <c r="Z87" i="2"/>
  <c r="AL85" i="2"/>
  <c r="AN84" i="2"/>
  <c r="AH83" i="2"/>
  <c r="Z83" i="2"/>
  <c r="AL81" i="2"/>
  <c r="AN80" i="2"/>
  <c r="AH79" i="2"/>
  <c r="Z79" i="2"/>
  <c r="AH77" i="2"/>
  <c r="AL75" i="2"/>
  <c r="AN74" i="2"/>
  <c r="AA74" i="2"/>
  <c r="AL71" i="2"/>
  <c r="AN70" i="2"/>
  <c r="AH65" i="2"/>
  <c r="AL63" i="2"/>
  <c r="P54" i="2"/>
  <c r="P55" i="2"/>
  <c r="P56" i="2"/>
  <c r="P57" i="2"/>
  <c r="P58" i="2"/>
  <c r="P59" i="2"/>
  <c r="P49" i="2"/>
  <c r="P50" i="2"/>
  <c r="P51" i="2"/>
  <c r="P52" i="2"/>
  <c r="P53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W86" i="2"/>
  <c r="W82" i="2"/>
  <c r="W78" i="2"/>
  <c r="M76" i="2"/>
  <c r="W74" i="2"/>
  <c r="M72" i="2"/>
  <c r="W70" i="2"/>
  <c r="W64" i="2"/>
  <c r="W60" i="2"/>
  <c r="M87" i="2"/>
  <c r="W85" i="2"/>
  <c r="M83" i="2"/>
  <c r="W81" i="2"/>
  <c r="M79" i="2"/>
  <c r="W77" i="2"/>
  <c r="M75" i="2"/>
  <c r="W73" i="2"/>
  <c r="W69" i="2"/>
  <c r="W65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49" i="2"/>
  <c r="J50" i="2"/>
  <c r="J51" i="2"/>
  <c r="J52" i="2"/>
  <c r="J53" i="2"/>
  <c r="J54" i="2"/>
  <c r="J55" i="2"/>
  <c r="J56" i="2"/>
  <c r="J57" i="2"/>
  <c r="J58" i="2"/>
  <c r="J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49" i="2"/>
  <c r="T50" i="2"/>
  <c r="T51" i="2"/>
  <c r="T52" i="2"/>
  <c r="T53" i="2"/>
  <c r="T54" i="2"/>
  <c r="T55" i="2"/>
  <c r="T56" i="2"/>
  <c r="T57" i="2"/>
  <c r="T58" i="2"/>
  <c r="T59" i="2"/>
  <c r="W49" i="2"/>
  <c r="W50" i="2"/>
  <c r="W51" i="2"/>
  <c r="W52" i="2"/>
  <c r="W53" i="2"/>
  <c r="W54" i="2"/>
  <c r="W55" i="2"/>
  <c r="W56" i="2"/>
  <c r="W57" i="2"/>
  <c r="W58" i="2"/>
  <c r="E50" i="2"/>
  <c r="E62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49" i="2"/>
  <c r="L50" i="2"/>
  <c r="L51" i="2"/>
  <c r="L52" i="2"/>
  <c r="L53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54" i="2"/>
  <c r="R55" i="2"/>
  <c r="R56" i="2"/>
  <c r="R57" i="2"/>
  <c r="R58" i="2"/>
  <c r="R49" i="2"/>
  <c r="R50" i="2"/>
  <c r="R51" i="2"/>
  <c r="R52" i="2"/>
  <c r="R53" i="2"/>
  <c r="N49" i="2"/>
  <c r="N50" i="2"/>
  <c r="N51" i="2"/>
  <c r="N52" i="2"/>
  <c r="N53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54" i="2"/>
  <c r="N55" i="2"/>
  <c r="N56" i="2"/>
  <c r="N57" i="2"/>
  <c r="N58" i="2"/>
  <c r="N59" i="2"/>
  <c r="W88" i="2"/>
  <c r="M86" i="2"/>
  <c r="W84" i="2"/>
  <c r="M82" i="2"/>
  <c r="W80" i="2"/>
  <c r="M78" i="2"/>
  <c r="W76" i="2"/>
  <c r="M74" i="2"/>
  <c r="W72" i="2"/>
  <c r="M70" i="2"/>
  <c r="W68" i="2"/>
  <c r="W67" i="2"/>
  <c r="W66" i="2"/>
  <c r="W62" i="2"/>
  <c r="L59" i="2"/>
  <c r="AK53" i="2"/>
  <c r="AK56" i="2"/>
  <c r="AK61" i="2"/>
  <c r="AK63" i="2"/>
  <c r="AK65" i="2"/>
  <c r="AK67" i="2"/>
  <c r="AK69" i="2"/>
  <c r="AK49" i="2"/>
  <c r="AK52" i="2"/>
  <c r="AK57" i="2"/>
  <c r="AK60" i="2"/>
  <c r="AK64" i="2"/>
  <c r="AK66" i="2"/>
  <c r="AK68" i="2"/>
  <c r="AK70" i="2"/>
  <c r="AK72" i="2"/>
  <c r="AK74" i="2"/>
  <c r="AK76" i="2"/>
  <c r="AK55" i="2"/>
  <c r="AK58" i="2"/>
  <c r="AK71" i="2"/>
  <c r="AK79" i="2"/>
  <c r="AK81" i="2"/>
  <c r="AK83" i="2"/>
  <c r="AK85" i="2"/>
  <c r="AK87" i="2"/>
  <c r="AK50" i="2"/>
  <c r="AK75" i="2"/>
  <c r="AK78" i="2"/>
  <c r="AK80" i="2"/>
  <c r="AK82" i="2"/>
  <c r="AK84" i="2"/>
  <c r="AK86" i="2"/>
  <c r="AK88" i="2"/>
  <c r="AG50" i="2"/>
  <c r="AG55" i="2"/>
  <c r="AG58" i="2"/>
  <c r="AG63" i="2"/>
  <c r="AG65" i="2"/>
  <c r="AG67" i="2"/>
  <c r="AG69" i="2"/>
  <c r="AG51" i="2"/>
  <c r="AG54" i="2"/>
  <c r="AG59" i="2"/>
  <c r="AG62" i="2"/>
  <c r="AG64" i="2"/>
  <c r="AG66" i="2"/>
  <c r="AG68" i="2"/>
  <c r="AG70" i="2"/>
  <c r="AG72" i="2"/>
  <c r="AG74" i="2"/>
  <c r="AG76" i="2"/>
  <c r="AG57" i="2"/>
  <c r="AG60" i="2"/>
  <c r="AG73" i="2"/>
  <c r="AG79" i="2"/>
  <c r="AG81" i="2"/>
  <c r="AG83" i="2"/>
  <c r="AG85" i="2"/>
  <c r="AG87" i="2"/>
  <c r="AG49" i="2"/>
  <c r="AG52" i="2"/>
  <c r="AG77" i="2"/>
  <c r="AG78" i="2"/>
  <c r="AG80" i="2"/>
  <c r="AG82" i="2"/>
  <c r="AG84" i="2"/>
  <c r="AG86" i="2"/>
  <c r="AG88" i="2"/>
  <c r="AQ50" i="2"/>
  <c r="AQ53" i="2"/>
  <c r="AQ58" i="2"/>
  <c r="AQ61" i="2"/>
  <c r="AQ64" i="2"/>
  <c r="AQ66" i="2"/>
  <c r="AQ68" i="2"/>
  <c r="AQ49" i="2"/>
  <c r="AQ54" i="2"/>
  <c r="AQ57" i="2"/>
  <c r="AQ62" i="2"/>
  <c r="AQ63" i="2"/>
  <c r="AQ65" i="2"/>
  <c r="AQ67" i="2"/>
  <c r="AQ69" i="2"/>
  <c r="AQ71" i="2"/>
  <c r="AQ73" i="2"/>
  <c r="AQ75" i="2"/>
  <c r="AQ60" i="2"/>
  <c r="AQ76" i="2"/>
  <c r="AQ78" i="2"/>
  <c r="AQ80" i="2"/>
  <c r="AQ82" i="2"/>
  <c r="AQ84" i="2"/>
  <c r="AQ86" i="2"/>
  <c r="AQ88" i="2"/>
  <c r="AQ52" i="2"/>
  <c r="AQ55" i="2"/>
  <c r="AQ72" i="2"/>
  <c r="AQ77" i="2"/>
  <c r="AQ79" i="2"/>
  <c r="AQ81" i="2"/>
  <c r="AQ83" i="2"/>
  <c r="AQ85" i="2"/>
  <c r="AQ87" i="2"/>
  <c r="AK77" i="2"/>
  <c r="AO75" i="2"/>
  <c r="AE72" i="2"/>
  <c r="AI70" i="2"/>
  <c r="AE62" i="2"/>
  <c r="AQ59" i="2"/>
  <c r="AM58" i="2"/>
  <c r="AG56" i="2"/>
  <c r="AO52" i="2"/>
  <c r="AK51" i="2"/>
  <c r="AE49" i="2"/>
  <c r="K49" i="2"/>
  <c r="K50" i="2"/>
  <c r="K51" i="2"/>
  <c r="K52" i="2"/>
  <c r="K53" i="2"/>
  <c r="U49" i="2"/>
  <c r="U50" i="2"/>
  <c r="U51" i="2"/>
  <c r="U52" i="2"/>
  <c r="U53" i="2"/>
  <c r="U54" i="2"/>
  <c r="U55" i="2"/>
  <c r="U56" i="2"/>
  <c r="U57" i="2"/>
  <c r="U58" i="2"/>
  <c r="Q49" i="2"/>
  <c r="Q50" i="2"/>
  <c r="Q51" i="2"/>
  <c r="Q52" i="2"/>
  <c r="Q53" i="2"/>
  <c r="Q54" i="2"/>
  <c r="Q55" i="2"/>
  <c r="Q56" i="2"/>
  <c r="Q57" i="2"/>
  <c r="Q58" i="2"/>
  <c r="Q59" i="2"/>
  <c r="B80" i="2"/>
  <c r="B64" i="2"/>
  <c r="D87" i="2"/>
  <c r="D74" i="2"/>
  <c r="D4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S59" i="2"/>
  <c r="H59" i="2"/>
  <c r="S58" i="2"/>
  <c r="H58" i="2"/>
  <c r="S57" i="2"/>
  <c r="H57" i="2"/>
  <c r="S56" i="2"/>
  <c r="H56" i="2"/>
  <c r="S55" i="2"/>
  <c r="H55" i="2"/>
  <c r="AC49" i="2"/>
  <c r="AC52" i="2"/>
  <c r="AC57" i="2"/>
  <c r="AC60" i="2"/>
  <c r="AC65" i="2"/>
  <c r="AC67" i="2"/>
  <c r="AC69" i="2"/>
  <c r="AC53" i="2"/>
  <c r="AC56" i="2"/>
  <c r="AC61" i="2"/>
  <c r="AC64" i="2"/>
  <c r="AC66" i="2"/>
  <c r="AC68" i="2"/>
  <c r="AC70" i="2"/>
  <c r="AC72" i="2"/>
  <c r="AC74" i="2"/>
  <c r="AC76" i="2"/>
  <c r="AC59" i="2"/>
  <c r="AC62" i="2"/>
  <c r="AC75" i="2"/>
  <c r="AC79" i="2"/>
  <c r="AC81" i="2"/>
  <c r="AC83" i="2"/>
  <c r="AC85" i="2"/>
  <c r="AC87" i="2"/>
  <c r="AC51" i="2"/>
  <c r="AC54" i="2"/>
  <c r="AC71" i="2"/>
  <c r="AC78" i="2"/>
  <c r="AC80" i="2"/>
  <c r="AC82" i="2"/>
  <c r="AC84" i="2"/>
  <c r="AC86" i="2"/>
  <c r="AC88" i="2"/>
  <c r="AE76" i="2"/>
  <c r="AI74" i="2"/>
  <c r="AM72" i="2"/>
  <c r="AQ70" i="2"/>
  <c r="AC63" i="2"/>
  <c r="AK59" i="2"/>
  <c r="AC50" i="2"/>
  <c r="AS50" i="2"/>
  <c r="AS54" i="2"/>
  <c r="AS58" i="2"/>
  <c r="AS62" i="2"/>
  <c r="AS66" i="2"/>
  <c r="AS70" i="2"/>
  <c r="AS74" i="2"/>
  <c r="AS78" i="2"/>
  <c r="AS82" i="2"/>
  <c r="AS86" i="2"/>
  <c r="AS52" i="2"/>
  <c r="AS56" i="2"/>
  <c r="AS60" i="2"/>
  <c r="AS64" i="2"/>
  <c r="AS68" i="2"/>
  <c r="AS72" i="2"/>
  <c r="AS76" i="2"/>
  <c r="AS80" i="2"/>
  <c r="AS84" i="2"/>
  <c r="AS88" i="2"/>
  <c r="AS51" i="2"/>
  <c r="AS59" i="2"/>
  <c r="AS67" i="2"/>
  <c r="AS75" i="2"/>
  <c r="AS83" i="2"/>
  <c r="AS55" i="2"/>
  <c r="AS63" i="2"/>
  <c r="AS71" i="2"/>
  <c r="AS79" i="2"/>
  <c r="AS87" i="2"/>
  <c r="AS53" i="2"/>
  <c r="AS69" i="2"/>
  <c r="AS85" i="2"/>
  <c r="AS61" i="2"/>
  <c r="AS77" i="2"/>
  <c r="AS73" i="2"/>
  <c r="AM52" i="2"/>
  <c r="AM55" i="2"/>
  <c r="AM60" i="2"/>
  <c r="AM64" i="2"/>
  <c r="AM66" i="2"/>
  <c r="AM68" i="2"/>
  <c r="AM51" i="2"/>
  <c r="AM56" i="2"/>
  <c r="AM59" i="2"/>
  <c r="AM63" i="2"/>
  <c r="AM65" i="2"/>
  <c r="AM67" i="2"/>
  <c r="AM69" i="2"/>
  <c r="AM71" i="2"/>
  <c r="AM73" i="2"/>
  <c r="AM75" i="2"/>
  <c r="AM77" i="2"/>
  <c r="AM49" i="2"/>
  <c r="AM62" i="2"/>
  <c r="AM70" i="2"/>
  <c r="AM78" i="2"/>
  <c r="AM80" i="2"/>
  <c r="AM82" i="2"/>
  <c r="AM84" i="2"/>
  <c r="AM86" i="2"/>
  <c r="AM88" i="2"/>
  <c r="AM54" i="2"/>
  <c r="AM57" i="2"/>
  <c r="AM74" i="2"/>
  <c r="AM79" i="2"/>
  <c r="AM81" i="2"/>
  <c r="AM83" i="2"/>
  <c r="AM85" i="2"/>
  <c r="AM87" i="2"/>
  <c r="AI49" i="2"/>
  <c r="AI54" i="2"/>
  <c r="AI57" i="2"/>
  <c r="AI62" i="2"/>
  <c r="AI64" i="2"/>
  <c r="AI66" i="2"/>
  <c r="AI68" i="2"/>
  <c r="AI50" i="2"/>
  <c r="AI53" i="2"/>
  <c r="AI58" i="2"/>
  <c r="AI61" i="2"/>
  <c r="AI63" i="2"/>
  <c r="AI65" i="2"/>
  <c r="AI67" i="2"/>
  <c r="AI69" i="2"/>
  <c r="AI71" i="2"/>
  <c r="AI73" i="2"/>
  <c r="AI75" i="2"/>
  <c r="AI77" i="2"/>
  <c r="AI51" i="2"/>
  <c r="AI72" i="2"/>
  <c r="AI78" i="2"/>
  <c r="AI80" i="2"/>
  <c r="AI82" i="2"/>
  <c r="AI84" i="2"/>
  <c r="AI86" i="2"/>
  <c r="AI88" i="2"/>
  <c r="AI56" i="2"/>
  <c r="AI59" i="2"/>
  <c r="AI76" i="2"/>
  <c r="AI79" i="2"/>
  <c r="AI81" i="2"/>
  <c r="AI83" i="2"/>
  <c r="AI85" i="2"/>
  <c r="AI87" i="2"/>
  <c r="AE51" i="2"/>
  <c r="AE56" i="2"/>
  <c r="AE59" i="2"/>
  <c r="AE64" i="2"/>
  <c r="AE66" i="2"/>
  <c r="AE68" i="2"/>
  <c r="AE70" i="2"/>
  <c r="AE52" i="2"/>
  <c r="AE55" i="2"/>
  <c r="AE60" i="2"/>
  <c r="AE63" i="2"/>
  <c r="AE65" i="2"/>
  <c r="AE67" i="2"/>
  <c r="AE69" i="2"/>
  <c r="AE71" i="2"/>
  <c r="AE73" i="2"/>
  <c r="AE75" i="2"/>
  <c r="AE77" i="2"/>
  <c r="AE50" i="2"/>
  <c r="AE53" i="2"/>
  <c r="AE74" i="2"/>
  <c r="AE78" i="2"/>
  <c r="AE80" i="2"/>
  <c r="AE82" i="2"/>
  <c r="AE84" i="2"/>
  <c r="AE86" i="2"/>
  <c r="AE88" i="2"/>
  <c r="AE58" i="2"/>
  <c r="AE61" i="2"/>
  <c r="AE79" i="2"/>
  <c r="AE81" i="2"/>
  <c r="AE83" i="2"/>
  <c r="AE85" i="2"/>
  <c r="AE87" i="2"/>
  <c r="AO51" i="2"/>
  <c r="AO54" i="2"/>
  <c r="AO59" i="2"/>
  <c r="AO62" i="2"/>
  <c r="AO63" i="2"/>
  <c r="AO65" i="2"/>
  <c r="AO67" i="2"/>
  <c r="AO69" i="2"/>
  <c r="AO50" i="2"/>
  <c r="AO55" i="2"/>
  <c r="AO58" i="2"/>
  <c r="AO64" i="2"/>
  <c r="AO66" i="2"/>
  <c r="AO68" i="2"/>
  <c r="AO70" i="2"/>
  <c r="AO72" i="2"/>
  <c r="AO74" i="2"/>
  <c r="AO76" i="2"/>
  <c r="AO53" i="2"/>
  <c r="AO56" i="2"/>
  <c r="AO77" i="2"/>
  <c r="AO79" i="2"/>
  <c r="AO81" i="2"/>
  <c r="AO83" i="2"/>
  <c r="AO85" i="2"/>
  <c r="AO87" i="2"/>
  <c r="AO61" i="2"/>
  <c r="AO73" i="2"/>
  <c r="AO78" i="2"/>
  <c r="AO80" i="2"/>
  <c r="AO82" i="2"/>
  <c r="AO84" i="2"/>
  <c r="AO86" i="2"/>
  <c r="AO88" i="2"/>
  <c r="AM76" i="2"/>
  <c r="AQ74" i="2"/>
  <c r="AG71" i="2"/>
  <c r="AM61" i="2"/>
  <c r="AI60" i="2"/>
  <c r="AQ56" i="2"/>
  <c r="AK54" i="2"/>
  <c r="AG53" i="2"/>
  <c r="AO49" i="2"/>
  <c r="I49" i="2"/>
  <c r="I50" i="2"/>
  <c r="I51" i="2"/>
  <c r="I52" i="2"/>
  <c r="I53" i="2"/>
  <c r="I54" i="2"/>
  <c r="I55" i="2"/>
  <c r="I56" i="2"/>
  <c r="I57" i="2"/>
  <c r="I58" i="2"/>
  <c r="I59" i="2"/>
  <c r="S49" i="2"/>
  <c r="S50" i="2"/>
  <c r="S51" i="2"/>
  <c r="S52" i="2"/>
  <c r="S53" i="2"/>
  <c r="O49" i="2"/>
  <c r="O50" i="2"/>
  <c r="O51" i="2"/>
  <c r="O52" i="2"/>
  <c r="O53" i="2"/>
  <c r="V68" i="2"/>
  <c r="V67" i="2"/>
  <c r="V66" i="2"/>
  <c r="V65" i="2"/>
  <c r="V64" i="2"/>
  <c r="V63" i="2"/>
  <c r="V62" i="2"/>
  <c r="V61" i="2"/>
  <c r="V60" i="2"/>
  <c r="U59" i="2"/>
  <c r="K59" i="2"/>
  <c r="V58" i="2"/>
  <c r="K58" i="2"/>
  <c r="V57" i="2"/>
  <c r="K57" i="2"/>
  <c r="V56" i="2"/>
  <c r="K56" i="2"/>
  <c r="V55" i="2"/>
  <c r="K55" i="2"/>
  <c r="V54" i="2"/>
  <c r="K54" i="2"/>
  <c r="V53" i="2"/>
  <c r="V52" i="2"/>
  <c r="V51" i="2"/>
  <c r="V50" i="2"/>
  <c r="V49" i="2"/>
  <c r="AA50" i="2"/>
  <c r="AA53" i="2"/>
  <c r="AA58" i="2"/>
  <c r="AA61" i="2"/>
  <c r="AA64" i="2"/>
  <c r="AA66" i="2"/>
  <c r="AA68" i="2"/>
  <c r="AA70" i="2"/>
  <c r="AA49" i="2"/>
  <c r="AA54" i="2"/>
  <c r="AA57" i="2"/>
  <c r="AA62" i="2"/>
  <c r="AA65" i="2"/>
  <c r="AA67" i="2"/>
  <c r="AA69" i="2"/>
  <c r="AA71" i="2"/>
  <c r="AA73" i="2"/>
  <c r="AA75" i="2"/>
  <c r="AA77" i="2"/>
  <c r="AA52" i="2"/>
  <c r="AA55" i="2"/>
  <c r="AA76" i="2"/>
  <c r="AA78" i="2"/>
  <c r="AA80" i="2"/>
  <c r="AA82" i="2"/>
  <c r="AA84" i="2"/>
  <c r="AA86" i="2"/>
  <c r="AA88" i="2"/>
  <c r="AA60" i="2"/>
  <c r="AA63" i="2"/>
  <c r="AA72" i="2"/>
  <c r="AA79" i="2"/>
  <c r="AA81" i="2"/>
  <c r="AA83" i="2"/>
  <c r="AA85" i="2"/>
  <c r="AA87" i="2"/>
  <c r="AC77" i="2"/>
  <c r="AG75" i="2"/>
  <c r="AK73" i="2"/>
  <c r="AO71" i="2"/>
  <c r="AK62" i="2"/>
  <c r="AG61" i="2"/>
  <c r="AA59" i="2"/>
  <c r="AO57" i="2"/>
  <c r="AI55" i="2"/>
  <c r="AE54" i="2"/>
  <c r="AQ51" i="2"/>
  <c r="AM50" i="2"/>
  <c r="AS49" i="2"/>
  <c r="AS57" i="2"/>
  <c r="Z49" i="2"/>
  <c r="Z51" i="2"/>
  <c r="Z53" i="2"/>
  <c r="Z55" i="2"/>
  <c r="Z57" i="2"/>
  <c r="Z59" i="2"/>
  <c r="Z61" i="2"/>
  <c r="Z63" i="2"/>
  <c r="Z56" i="2"/>
  <c r="Z52" i="2"/>
  <c r="Z60" i="2"/>
  <c r="Y85" i="2"/>
  <c r="Y81" i="2"/>
  <c r="Y77" i="2"/>
  <c r="Y73" i="2"/>
  <c r="Y69" i="2"/>
  <c r="Y65" i="2"/>
  <c r="Y61" i="2"/>
  <c r="Y57" i="2"/>
  <c r="Y53" i="2"/>
  <c r="AD49" i="2"/>
  <c r="AD51" i="2"/>
  <c r="AD53" i="2"/>
  <c r="AD55" i="2"/>
  <c r="AD57" i="2"/>
  <c r="AD59" i="2"/>
  <c r="AD61" i="2"/>
  <c r="AD63" i="2"/>
  <c r="AD54" i="2"/>
  <c r="AD62" i="2"/>
  <c r="AD50" i="2"/>
  <c r="AD58" i="2"/>
  <c r="AJ50" i="2"/>
  <c r="AJ52" i="2"/>
  <c r="AJ54" i="2"/>
  <c r="AJ56" i="2"/>
  <c r="AJ58" i="2"/>
  <c r="AJ60" i="2"/>
  <c r="AJ62" i="2"/>
  <c r="AJ51" i="2"/>
  <c r="AJ59" i="2"/>
  <c r="AJ55" i="2"/>
  <c r="AF50" i="2"/>
  <c r="AF52" i="2"/>
  <c r="AF54" i="2"/>
  <c r="AF56" i="2"/>
  <c r="AF58" i="2"/>
  <c r="AF60" i="2"/>
  <c r="AF62" i="2"/>
  <c r="AF53" i="2"/>
  <c r="AF61" i="2"/>
  <c r="AF49" i="2"/>
  <c r="AF57" i="2"/>
  <c r="AP49" i="2"/>
  <c r="AP51" i="2"/>
  <c r="AP53" i="2"/>
  <c r="AP55" i="2"/>
  <c r="AP57" i="2"/>
  <c r="AP59" i="2"/>
  <c r="AP61" i="2"/>
  <c r="AP56" i="2"/>
  <c r="AP52" i="2"/>
  <c r="AP60" i="2"/>
  <c r="AL77" i="2"/>
  <c r="AB77" i="2"/>
  <c r="AN76" i="2"/>
  <c r="AD76" i="2"/>
  <c r="AP75" i="2"/>
  <c r="AF75" i="2"/>
  <c r="Z75" i="2"/>
  <c r="AH74" i="2"/>
  <c r="AB74" i="2"/>
  <c r="AJ73" i="2"/>
  <c r="AD73" i="2"/>
  <c r="AL72" i="2"/>
  <c r="AF72" i="2"/>
  <c r="AN71" i="2"/>
  <c r="AH71" i="2"/>
  <c r="AP70" i="2"/>
  <c r="AJ70" i="2"/>
  <c r="AD70" i="2"/>
  <c r="AN69" i="2"/>
  <c r="AF69" i="2"/>
  <c r="AP68" i="2"/>
  <c r="AH68" i="2"/>
  <c r="Z68" i="2"/>
  <c r="AJ67" i="2"/>
  <c r="AB67" i="2"/>
  <c r="AL66" i="2"/>
  <c r="AD66" i="2"/>
  <c r="AN65" i="2"/>
  <c r="AF65" i="2"/>
  <c r="AP64" i="2"/>
  <c r="AH64" i="2"/>
  <c r="Z64" i="2"/>
  <c r="AJ63" i="2"/>
  <c r="AP58" i="2"/>
  <c r="AF55" i="2"/>
  <c r="AJ53" i="2"/>
  <c r="Z50" i="2"/>
  <c r="AB50" i="2"/>
  <c r="AB52" i="2"/>
  <c r="AB54" i="2"/>
  <c r="AB56" i="2"/>
  <c r="AB58" i="2"/>
  <c r="AB60" i="2"/>
  <c r="AB62" i="2"/>
  <c r="AB55" i="2"/>
  <c r="AB63" i="2"/>
  <c r="AB51" i="2"/>
  <c r="AB59" i="2"/>
  <c r="Y87" i="2"/>
  <c r="Y83" i="2"/>
  <c r="Y79" i="2"/>
  <c r="Y75" i="2"/>
  <c r="Y71" i="2"/>
  <c r="Y67" i="2"/>
  <c r="Y63" i="2"/>
  <c r="Y59" i="2"/>
  <c r="Y55" i="2"/>
  <c r="AL49" i="2"/>
  <c r="AL51" i="2"/>
  <c r="AL53" i="2"/>
  <c r="AL55" i="2"/>
  <c r="AL57" i="2"/>
  <c r="AL59" i="2"/>
  <c r="AL61" i="2"/>
  <c r="AL50" i="2"/>
  <c r="AL58" i="2"/>
  <c r="AL54" i="2"/>
  <c r="AL62" i="2"/>
  <c r="AH49" i="2"/>
  <c r="AH51" i="2"/>
  <c r="AH53" i="2"/>
  <c r="AH55" i="2"/>
  <c r="AH57" i="2"/>
  <c r="AH59" i="2"/>
  <c r="AH61" i="2"/>
  <c r="AH52" i="2"/>
  <c r="AH60" i="2"/>
  <c r="AH56" i="2"/>
  <c r="AN50" i="2"/>
  <c r="AN52" i="2"/>
  <c r="AN54" i="2"/>
  <c r="AN56" i="2"/>
  <c r="AN58" i="2"/>
  <c r="AN60" i="2"/>
  <c r="AN62" i="2"/>
  <c r="AN49" i="2"/>
  <c r="AN57" i="2"/>
  <c r="AN53" i="2"/>
  <c r="AN61" i="2"/>
  <c r="AJ77" i="2"/>
  <c r="AD77" i="2"/>
  <c r="AL76" i="2"/>
  <c r="AF76" i="2"/>
  <c r="AN75" i="2"/>
  <c r="AH75" i="2"/>
  <c r="AP74" i="2"/>
  <c r="AJ74" i="2"/>
  <c r="Z74" i="2"/>
  <c r="AL73" i="2"/>
  <c r="AB73" i="2"/>
  <c r="AN72" i="2"/>
  <c r="AD72" i="2"/>
  <c r="AP71" i="2"/>
  <c r="AF71" i="2"/>
  <c r="Z71" i="2"/>
  <c r="AH70" i="2"/>
  <c r="Z70" i="2"/>
  <c r="AJ69" i="2"/>
  <c r="AB69" i="2"/>
  <c r="AL68" i="2"/>
  <c r="AD68" i="2"/>
  <c r="AN67" i="2"/>
  <c r="AF67" i="2"/>
  <c r="AP66" i="2"/>
  <c r="AH66" i="2"/>
  <c r="Z66" i="2"/>
  <c r="AJ65" i="2"/>
  <c r="AB65" i="2"/>
  <c r="AL64" i="2"/>
  <c r="AD64" i="2"/>
  <c r="AN63" i="2"/>
  <c r="AF63" i="2"/>
  <c r="AJ61" i="2"/>
  <c r="AN59" i="2"/>
  <c r="Z58" i="2"/>
  <c r="AD56" i="2"/>
  <c r="AH54" i="2"/>
  <c r="AL52" i="2"/>
  <c r="AP50" i="2"/>
  <c r="AB49" i="2"/>
  <c r="AT87" i="2"/>
  <c r="AT83" i="2"/>
  <c r="AT79" i="2"/>
  <c r="AT75" i="2"/>
  <c r="AT71" i="2"/>
  <c r="AT67" i="2"/>
  <c r="AT63" i="2"/>
  <c r="AT59" i="2"/>
  <c r="AT55" i="2"/>
  <c r="AT51" i="2"/>
  <c r="AT85" i="2"/>
  <c r="AT81" i="2"/>
  <c r="AT77" i="2"/>
  <c r="AT73" i="2"/>
  <c r="AT69" i="2"/>
  <c r="AT65" i="2"/>
  <c r="AT61" i="2"/>
  <c r="AT57" i="2"/>
  <c r="AT53" i="2"/>
  <c r="C83" i="2"/>
  <c r="G75" i="2"/>
  <c r="G68" i="2"/>
  <c r="C67" i="2"/>
  <c r="C64" i="2"/>
  <c r="C55" i="2"/>
  <c r="C88" i="2"/>
  <c r="E86" i="2"/>
  <c r="G83" i="2"/>
  <c r="G76" i="2"/>
  <c r="C75" i="2"/>
  <c r="C72" i="2"/>
  <c r="E70" i="2"/>
  <c r="G67" i="2"/>
  <c r="E61" i="2"/>
  <c r="G58" i="2"/>
  <c r="G51" i="2"/>
  <c r="C50" i="2"/>
  <c r="B85" i="2"/>
  <c r="B77" i="2"/>
  <c r="B69" i="2"/>
  <c r="B61" i="2"/>
  <c r="B53" i="2"/>
  <c r="G87" i="2"/>
  <c r="D86" i="2"/>
  <c r="D83" i="2"/>
  <c r="G80" i="2"/>
  <c r="C79" i="2"/>
  <c r="C76" i="2"/>
  <c r="E74" i="2"/>
  <c r="G71" i="2"/>
  <c r="D70" i="2"/>
  <c r="D67" i="2"/>
  <c r="G64" i="2"/>
  <c r="C63" i="2"/>
  <c r="D61" i="2"/>
  <c r="D58" i="2"/>
  <c r="G55" i="2"/>
  <c r="C54" i="2"/>
  <c r="C51" i="2"/>
  <c r="E49" i="2"/>
  <c r="G84" i="2"/>
  <c r="C80" i="2"/>
  <c r="G59" i="2"/>
  <c r="C58" i="2"/>
  <c r="G50" i="2"/>
  <c r="B49" i="2"/>
  <c r="B81" i="2"/>
  <c r="B73" i="2"/>
  <c r="B65" i="2"/>
  <c r="B57" i="2"/>
  <c r="G88" i="2"/>
  <c r="C87" i="2"/>
  <c r="C84" i="2"/>
  <c r="E82" i="2"/>
  <c r="G79" i="2"/>
  <c r="D78" i="2"/>
  <c r="D75" i="2"/>
  <c r="G72" i="2"/>
  <c r="C71" i="2"/>
  <c r="C68" i="2"/>
  <c r="E66" i="2"/>
  <c r="G63" i="2"/>
  <c r="D62" i="2"/>
  <c r="C59" i="2"/>
  <c r="E57" i="2"/>
  <c r="G54" i="2"/>
  <c r="D53" i="2"/>
  <c r="D50" i="2"/>
  <c r="F85" i="2"/>
  <c r="F81" i="2"/>
  <c r="F73" i="2"/>
  <c r="F65" i="2"/>
  <c r="F60" i="2"/>
  <c r="F56" i="2"/>
  <c r="F88" i="2"/>
  <c r="F80" i="2"/>
  <c r="E73" i="2"/>
  <c r="F72" i="2"/>
  <c r="E69" i="2"/>
  <c r="E65" i="2"/>
  <c r="F64" i="2"/>
  <c r="E60" i="2"/>
  <c r="F59" i="2"/>
  <c r="E56" i="2"/>
  <c r="F55" i="2"/>
  <c r="B87" i="2"/>
  <c r="B83" i="2"/>
  <c r="B79" i="2"/>
  <c r="B75" i="2"/>
  <c r="B71" i="2"/>
  <c r="B67" i="2"/>
  <c r="B63" i="2"/>
  <c r="B59" i="2"/>
  <c r="B55" i="2"/>
  <c r="B51" i="2"/>
  <c r="E88" i="2"/>
  <c r="F87" i="2"/>
  <c r="G86" i="2"/>
  <c r="C86" i="2"/>
  <c r="D85" i="2"/>
  <c r="E84" i="2"/>
  <c r="F83" i="2"/>
  <c r="G82" i="2"/>
  <c r="C82" i="2"/>
  <c r="D81" i="2"/>
  <c r="E80" i="2"/>
  <c r="F79" i="2"/>
  <c r="G78" i="2"/>
  <c r="C78" i="2"/>
  <c r="D77" i="2"/>
  <c r="E76" i="2"/>
  <c r="F75" i="2"/>
  <c r="G74" i="2"/>
  <c r="C74" i="2"/>
  <c r="D73" i="2"/>
  <c r="E72" i="2"/>
  <c r="F71" i="2"/>
  <c r="G70" i="2"/>
  <c r="C70" i="2"/>
  <c r="D69" i="2"/>
  <c r="E68" i="2"/>
  <c r="F67" i="2"/>
  <c r="G66" i="2"/>
  <c r="C66" i="2"/>
  <c r="D65" i="2"/>
  <c r="E64" i="2"/>
  <c r="F63" i="2"/>
  <c r="G62" i="2"/>
  <c r="C62" i="2"/>
  <c r="C61" i="2"/>
  <c r="D60" i="2"/>
  <c r="E59" i="2"/>
  <c r="F58" i="2"/>
  <c r="G57" i="2"/>
  <c r="C57" i="2"/>
  <c r="D56" i="2"/>
  <c r="E55" i="2"/>
  <c r="F54" i="2"/>
  <c r="G53" i="2"/>
  <c r="C53" i="2"/>
  <c r="D52" i="2"/>
  <c r="E51" i="2"/>
  <c r="F50" i="2"/>
  <c r="G49" i="2"/>
  <c r="C49" i="2"/>
  <c r="F77" i="2"/>
  <c r="F69" i="2"/>
  <c r="F52" i="2"/>
  <c r="E85" i="2"/>
  <c r="F84" i="2"/>
  <c r="E81" i="2"/>
  <c r="E77" i="2"/>
  <c r="F76" i="2"/>
  <c r="F68" i="2"/>
  <c r="E52" i="2"/>
  <c r="F51" i="2"/>
  <c r="B86" i="2"/>
  <c r="B82" i="2"/>
  <c r="B78" i="2"/>
  <c r="B74" i="2"/>
  <c r="B70" i="2"/>
  <c r="B66" i="2"/>
  <c r="B62" i="2"/>
  <c r="B58" i="2"/>
  <c r="B54" i="2"/>
  <c r="D88" i="2"/>
  <c r="E87" i="2"/>
  <c r="F86" i="2"/>
  <c r="G85" i="2"/>
  <c r="C85" i="2"/>
  <c r="D84" i="2"/>
  <c r="E83" i="2"/>
  <c r="F82" i="2"/>
  <c r="G81" i="2"/>
  <c r="C81" i="2"/>
  <c r="D80" i="2"/>
  <c r="E79" i="2"/>
  <c r="F78" i="2"/>
  <c r="G77" i="2"/>
  <c r="C77" i="2"/>
  <c r="D76" i="2"/>
  <c r="E75" i="2"/>
  <c r="F74" i="2"/>
  <c r="G73" i="2"/>
  <c r="C73" i="2"/>
  <c r="D72" i="2"/>
  <c r="E71" i="2"/>
  <c r="F70" i="2"/>
  <c r="G69" i="2"/>
  <c r="C69" i="2"/>
  <c r="D68" i="2"/>
  <c r="E67" i="2"/>
  <c r="F66" i="2"/>
  <c r="G65" i="2"/>
  <c r="C65" i="2"/>
  <c r="D64" i="2"/>
  <c r="E63" i="2"/>
  <c r="F62" i="2"/>
  <c r="F61" i="2"/>
  <c r="G60" i="2"/>
  <c r="C60" i="2"/>
  <c r="D59" i="2"/>
  <c r="E58" i="2"/>
  <c r="F57" i="2"/>
  <c r="G56" i="2"/>
  <c r="C56" i="2"/>
  <c r="D55" i="2"/>
  <c r="E54" i="2"/>
  <c r="F53" i="2"/>
  <c r="G52" i="2"/>
  <c r="AT3" i="2"/>
  <c r="AS3" i="2"/>
  <c r="AO3" i="2"/>
  <c r="AP3" i="2"/>
  <c r="AQ3" i="2"/>
  <c r="AN3" i="2"/>
  <c r="AE3" i="2"/>
  <c r="AF3" i="2"/>
  <c r="AG3" i="2"/>
  <c r="AH3" i="2"/>
  <c r="AI3" i="2"/>
  <c r="AJ3" i="2"/>
  <c r="AK3" i="2"/>
  <c r="AL3" i="2"/>
  <c r="AM3" i="2"/>
  <c r="AD3" i="2"/>
  <c r="Z3" i="2"/>
  <c r="AA3" i="2"/>
  <c r="AB3" i="2"/>
  <c r="AC3" i="2"/>
  <c r="W3" i="2"/>
  <c r="V3" i="2"/>
  <c r="N3" i="2"/>
  <c r="O3" i="2"/>
  <c r="P3" i="2"/>
  <c r="Q3" i="2"/>
  <c r="R3" i="2"/>
  <c r="S3" i="2"/>
  <c r="T3" i="2"/>
  <c r="U3" i="2"/>
  <c r="M3" i="2"/>
  <c r="I3" i="2"/>
  <c r="J3" i="2"/>
  <c r="K3" i="2"/>
  <c r="L3" i="2"/>
  <c r="H3" i="2"/>
  <c r="D3" i="2"/>
  <c r="E3" i="2"/>
  <c r="F3" i="2"/>
  <c r="G3" i="2"/>
  <c r="B18" i="9" l="1"/>
  <c r="B15" i="9"/>
  <c r="M287" i="9" l="1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286" i="9"/>
  <c r="M276" i="9"/>
  <c r="M275" i="9"/>
  <c r="M274" i="9"/>
  <c r="M273" i="9"/>
  <c r="M272" i="9"/>
  <c r="M265" i="9"/>
  <c r="M266" i="9"/>
  <c r="M267" i="9"/>
  <c r="M264" i="9"/>
  <c r="B274" i="9"/>
  <c r="B275" i="9"/>
  <c r="B276" i="9"/>
  <c r="B277" i="9"/>
  <c r="B273" i="9"/>
  <c r="B265" i="9"/>
  <c r="B266" i="9"/>
  <c r="B267" i="9"/>
  <c r="B268" i="9"/>
  <c r="B264" i="9"/>
  <c r="B223" i="9"/>
  <c r="B224" i="9"/>
  <c r="B225" i="9"/>
  <c r="B226" i="9"/>
  <c r="B227" i="9"/>
  <c r="B222" i="9"/>
  <c r="M248" i="9"/>
  <c r="M249" i="9"/>
  <c r="M250" i="9"/>
  <c r="M247" i="9"/>
  <c r="M240" i="9"/>
  <c r="M241" i="9"/>
  <c r="M242" i="9"/>
  <c r="M239" i="9"/>
  <c r="M232" i="9"/>
  <c r="M233" i="9"/>
  <c r="M234" i="9"/>
  <c r="M231" i="9"/>
  <c r="M223" i="9"/>
  <c r="M224" i="9"/>
  <c r="M225" i="9"/>
  <c r="M226" i="9"/>
  <c r="M222" i="9"/>
  <c r="M213" i="9"/>
  <c r="M214" i="9"/>
  <c r="M215" i="9"/>
  <c r="M216" i="9"/>
  <c r="M217" i="9"/>
  <c r="M212" i="9"/>
  <c r="B252" i="9"/>
  <c r="B253" i="9"/>
  <c r="B254" i="9"/>
  <c r="B255" i="9"/>
  <c r="B251" i="9"/>
  <c r="B242" i="9"/>
  <c r="B243" i="9"/>
  <c r="B244" i="9"/>
  <c r="B245" i="9"/>
  <c r="B246" i="9"/>
  <c r="B241" i="9"/>
  <c r="B233" i="9"/>
  <c r="B234" i="9"/>
  <c r="B235" i="9"/>
  <c r="B236" i="9"/>
  <c r="B232" i="9"/>
  <c r="B213" i="9"/>
  <c r="B214" i="9"/>
  <c r="B215" i="9"/>
  <c r="B216" i="9"/>
  <c r="B217" i="9"/>
  <c r="B212" i="9"/>
  <c r="M186" i="9"/>
  <c r="M185" i="9"/>
  <c r="M180" i="9"/>
  <c r="M179" i="9"/>
  <c r="B200" i="9"/>
  <c r="B201" i="9"/>
  <c r="B202" i="9"/>
  <c r="B203" i="9"/>
  <c r="B199" i="9"/>
  <c r="B190" i="9"/>
  <c r="B191" i="9"/>
  <c r="B192" i="9"/>
  <c r="B193" i="9"/>
  <c r="B194" i="9"/>
  <c r="B189" i="9"/>
  <c r="B180" i="9"/>
  <c r="B181" i="9"/>
  <c r="B182" i="9"/>
  <c r="B183" i="9"/>
  <c r="B184" i="9"/>
  <c r="B179" i="9"/>
  <c r="M162" i="9"/>
  <c r="M163" i="9"/>
  <c r="M164" i="9"/>
  <c r="M165" i="9"/>
  <c r="M166" i="9"/>
  <c r="M167" i="9"/>
  <c r="M168" i="9"/>
  <c r="M169" i="9"/>
  <c r="M170" i="9"/>
  <c r="M161" i="9"/>
  <c r="B162" i="9"/>
  <c r="B163" i="9"/>
  <c r="B164" i="9"/>
  <c r="B165" i="9"/>
  <c r="B161" i="9"/>
  <c r="M143" i="9"/>
  <c r="M142" i="9"/>
  <c r="M135" i="9"/>
  <c r="M136" i="9"/>
  <c r="M137" i="9"/>
  <c r="M134" i="9"/>
  <c r="M124" i="9"/>
  <c r="M125" i="9"/>
  <c r="M126" i="9"/>
  <c r="M127" i="9"/>
  <c r="M128" i="9"/>
  <c r="M129" i="9"/>
  <c r="M123" i="9"/>
  <c r="M113" i="9"/>
  <c r="M114" i="9"/>
  <c r="M115" i="9"/>
  <c r="M116" i="9"/>
  <c r="M117" i="9"/>
  <c r="M118" i="9"/>
  <c r="M112" i="9"/>
  <c r="M101" i="9"/>
  <c r="M102" i="9"/>
  <c r="M103" i="9"/>
  <c r="M104" i="9"/>
  <c r="M105" i="9"/>
  <c r="M106" i="9"/>
  <c r="M107" i="9"/>
  <c r="M100" i="9"/>
  <c r="B147" i="9"/>
  <c r="B148" i="9"/>
  <c r="B149" i="9"/>
  <c r="B150" i="9"/>
  <c r="B151" i="9"/>
  <c r="B152" i="9"/>
  <c r="B146" i="9"/>
  <c r="B132" i="9"/>
  <c r="B133" i="9"/>
  <c r="B134" i="9"/>
  <c r="B135" i="9"/>
  <c r="B136" i="9"/>
  <c r="B137" i="9"/>
  <c r="B138" i="9"/>
  <c r="B139" i="9"/>
  <c r="B140" i="9"/>
  <c r="B141" i="9"/>
  <c r="B131" i="9"/>
  <c r="B116" i="9"/>
  <c r="B117" i="9"/>
  <c r="B118" i="9"/>
  <c r="B119" i="9"/>
  <c r="B120" i="9"/>
  <c r="B121" i="9"/>
  <c r="B122" i="9"/>
  <c r="B123" i="9"/>
  <c r="B124" i="9"/>
  <c r="B125" i="9"/>
  <c r="B126" i="9"/>
  <c r="B115" i="9"/>
  <c r="B101" i="9"/>
  <c r="B102" i="9"/>
  <c r="B103" i="9"/>
  <c r="B104" i="9"/>
  <c r="B105" i="9"/>
  <c r="B106" i="9"/>
  <c r="B107" i="9"/>
  <c r="B108" i="9"/>
  <c r="B109" i="9"/>
  <c r="B110" i="9"/>
  <c r="B100" i="9"/>
  <c r="B77" i="9"/>
  <c r="B78" i="9"/>
  <c r="B79" i="9"/>
  <c r="B76" i="9"/>
  <c r="B63" i="9"/>
  <c r="B64" i="9"/>
  <c r="B65" i="9"/>
  <c r="B66" i="9"/>
  <c r="B67" i="9"/>
  <c r="B68" i="9"/>
  <c r="B69" i="9"/>
  <c r="B70" i="9"/>
  <c r="B71" i="9"/>
  <c r="B62" i="9"/>
  <c r="M75" i="9"/>
  <c r="M76" i="9"/>
  <c r="M77" i="9"/>
  <c r="M78" i="9"/>
  <c r="M74" i="9"/>
  <c r="M63" i="9"/>
  <c r="M64" i="9"/>
  <c r="M65" i="9"/>
  <c r="M66" i="9"/>
  <c r="M67" i="9"/>
  <c r="M68" i="9"/>
  <c r="M69" i="9"/>
  <c r="M62" i="9"/>
  <c r="B85" i="9"/>
  <c r="B86" i="9"/>
  <c r="B87" i="9"/>
  <c r="B88" i="9"/>
  <c r="B89" i="9"/>
  <c r="B90" i="9"/>
  <c r="B91" i="9"/>
  <c r="B84" i="9"/>
  <c r="M24" i="9"/>
  <c r="M25" i="9"/>
  <c r="M26" i="9"/>
  <c r="M27" i="9"/>
  <c r="M28" i="9"/>
  <c r="M29" i="9"/>
  <c r="M30" i="9"/>
  <c r="M31" i="9"/>
  <c r="M32" i="9"/>
  <c r="M33" i="9"/>
  <c r="M23" i="9"/>
  <c r="M9" i="9"/>
  <c r="M10" i="9"/>
  <c r="M11" i="9"/>
  <c r="M12" i="9"/>
  <c r="M13" i="9"/>
  <c r="M14" i="9"/>
  <c r="M15" i="9"/>
  <c r="M16" i="9"/>
  <c r="M17" i="9"/>
  <c r="M18" i="9"/>
  <c r="M8" i="9"/>
  <c r="B49" i="9"/>
  <c r="B50" i="9"/>
  <c r="B51" i="9"/>
  <c r="B52" i="9"/>
  <c r="B53" i="9"/>
  <c r="B48" i="9"/>
  <c r="B34" i="9"/>
  <c r="B35" i="9"/>
  <c r="B36" i="9"/>
  <c r="B37" i="9"/>
  <c r="B38" i="9"/>
  <c r="B39" i="9"/>
  <c r="B40" i="9"/>
  <c r="B41" i="9"/>
  <c r="B42" i="9"/>
  <c r="B43" i="9"/>
  <c r="B33" i="9"/>
  <c r="B24" i="9"/>
  <c r="B25" i="9"/>
  <c r="B26" i="9"/>
  <c r="B27" i="9"/>
  <c r="B28" i="9"/>
  <c r="B23" i="9"/>
  <c r="B9" i="9"/>
  <c r="B10" i="9"/>
  <c r="B11" i="9"/>
  <c r="B12" i="9"/>
  <c r="B13" i="9"/>
  <c r="B14" i="9"/>
  <c r="B16" i="9"/>
  <c r="B17" i="9"/>
  <c r="B8" i="9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S45" i="2"/>
  <c r="AT45" i="2"/>
  <c r="AO89" i="2" l="1"/>
  <c r="AO4" i="2"/>
  <c r="AG89" i="2"/>
  <c r="AG4" i="2"/>
  <c r="Y89" i="2"/>
  <c r="Y4" i="2"/>
  <c r="T89" i="2"/>
  <c r="T4" i="2"/>
  <c r="L89" i="2"/>
  <c r="L4" i="2"/>
  <c r="D89" i="2"/>
  <c r="D4" i="2"/>
  <c r="AN89" i="2"/>
  <c r="AN4" i="2"/>
  <c r="AF89" i="2"/>
  <c r="AF4" i="2"/>
  <c r="W89" i="2"/>
  <c r="W4" i="2"/>
  <c r="O89" i="2"/>
  <c r="O4" i="2"/>
  <c r="G89" i="2"/>
  <c r="G4" i="2"/>
  <c r="AQ89" i="2"/>
  <c r="AQ4" i="2"/>
  <c r="AM89" i="2"/>
  <c r="AM4" i="2"/>
  <c r="AI89" i="2"/>
  <c r="AI4" i="2"/>
  <c r="AE89" i="2"/>
  <c r="AE4" i="2"/>
  <c r="AA89" i="2"/>
  <c r="AA4" i="2"/>
  <c r="V89" i="2"/>
  <c r="V4" i="2"/>
  <c r="R89" i="2"/>
  <c r="R4" i="2"/>
  <c r="N89" i="2"/>
  <c r="N4" i="2"/>
  <c r="J89" i="2"/>
  <c r="J4" i="2"/>
  <c r="F89" i="2"/>
  <c r="F4" i="2"/>
  <c r="B89" i="2"/>
  <c r="B4" i="2"/>
  <c r="AT89" i="2"/>
  <c r="AT4" i="2"/>
  <c r="AK89" i="2"/>
  <c r="AK4" i="2"/>
  <c r="AC89" i="2"/>
  <c r="AC4" i="2"/>
  <c r="P89" i="2"/>
  <c r="P4" i="2"/>
  <c r="H89" i="2"/>
  <c r="H4" i="2"/>
  <c r="AS89" i="2"/>
  <c r="AS4" i="2"/>
  <c r="AJ89" i="2"/>
  <c r="AJ4" i="2"/>
  <c r="AB89" i="2"/>
  <c r="AB4" i="2"/>
  <c r="S89" i="2"/>
  <c r="S4" i="2"/>
  <c r="K89" i="2"/>
  <c r="K4" i="2"/>
  <c r="C89" i="2"/>
  <c r="C4" i="2"/>
  <c r="AP89" i="2"/>
  <c r="AP4" i="2"/>
  <c r="AL89" i="2"/>
  <c r="AL4" i="2"/>
  <c r="AH89" i="2"/>
  <c r="AH4" i="2"/>
  <c r="AD89" i="2"/>
  <c r="AD4" i="2"/>
  <c r="Z89" i="2"/>
  <c r="Z4" i="2"/>
  <c r="U89" i="2"/>
  <c r="U4" i="2"/>
  <c r="Q89" i="2"/>
  <c r="Q4" i="2"/>
  <c r="M89" i="2"/>
  <c r="M4" i="2"/>
  <c r="I89" i="2"/>
  <c r="I4" i="2"/>
  <c r="E89" i="2"/>
  <c r="E4" i="2"/>
  <c r="C5" i="8" l="1"/>
  <c r="A1" i="9" l="1"/>
  <c r="L33" i="12" l="1"/>
  <c r="M33" i="12"/>
  <c r="N33" i="12"/>
  <c r="O33" i="12"/>
  <c r="P33" i="12"/>
  <c r="Q33" i="12"/>
  <c r="R33" i="12"/>
  <c r="S33" i="12"/>
  <c r="L34" i="12"/>
  <c r="M34" i="12"/>
  <c r="N34" i="12"/>
  <c r="O34" i="12"/>
  <c r="P34" i="12"/>
  <c r="Q34" i="12"/>
  <c r="R34" i="12"/>
  <c r="S34" i="12"/>
  <c r="L35" i="12"/>
  <c r="M35" i="12"/>
  <c r="N35" i="12"/>
  <c r="O35" i="12"/>
  <c r="P35" i="12"/>
  <c r="Q35" i="12"/>
  <c r="R35" i="12"/>
  <c r="S35" i="12"/>
  <c r="L36" i="12"/>
  <c r="M36" i="12"/>
  <c r="N36" i="12"/>
  <c r="O36" i="12"/>
  <c r="P36" i="12"/>
  <c r="Q36" i="12"/>
  <c r="R36" i="12"/>
  <c r="S36" i="12"/>
  <c r="L37" i="12"/>
  <c r="M37" i="12"/>
  <c r="N37" i="12"/>
  <c r="O37" i="12"/>
  <c r="P37" i="12"/>
  <c r="Q37" i="12"/>
  <c r="R37" i="12"/>
  <c r="S37" i="12"/>
  <c r="L38" i="12"/>
  <c r="M38" i="12"/>
  <c r="N38" i="12"/>
  <c r="O38" i="12"/>
  <c r="P38" i="12"/>
  <c r="Q38" i="12"/>
  <c r="R38" i="12"/>
  <c r="S38" i="12"/>
  <c r="L39" i="12"/>
  <c r="M39" i="12"/>
  <c r="N39" i="12"/>
  <c r="O39" i="12"/>
  <c r="P39" i="12"/>
  <c r="Q39" i="12"/>
  <c r="R39" i="12"/>
  <c r="S39" i="12"/>
  <c r="L40" i="12"/>
  <c r="M40" i="12"/>
  <c r="N40" i="12"/>
  <c r="O40" i="12"/>
  <c r="P40" i="12"/>
  <c r="Q40" i="12"/>
  <c r="R40" i="12"/>
  <c r="S40" i="12"/>
  <c r="L41" i="12"/>
  <c r="M41" i="12"/>
  <c r="N41" i="12"/>
  <c r="O41" i="12"/>
  <c r="P41" i="12"/>
  <c r="Q41" i="12"/>
  <c r="R41" i="12"/>
  <c r="S41" i="12"/>
  <c r="L42" i="12"/>
  <c r="M42" i="12"/>
  <c r="N42" i="12"/>
  <c r="O42" i="12"/>
  <c r="P42" i="12"/>
  <c r="Q42" i="12"/>
  <c r="R42" i="12"/>
  <c r="S42" i="12"/>
  <c r="L43" i="12"/>
  <c r="M43" i="12"/>
  <c r="N43" i="12"/>
  <c r="O43" i="12"/>
  <c r="P43" i="12"/>
  <c r="Q43" i="12"/>
  <c r="R43" i="12"/>
  <c r="S43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Q18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Q19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Q20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Q21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Q22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Q23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Q24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Q25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Q26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Q27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Q28" i="12"/>
  <c r="AS43" i="3" l="1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5" i="3"/>
  <c r="AB36" i="3"/>
  <c r="AB37" i="3"/>
  <c r="AB38" i="3"/>
  <c r="AB39" i="3"/>
  <c r="AB40" i="3"/>
  <c r="AB41" i="3"/>
  <c r="AB42" i="3"/>
  <c r="AB43" i="3"/>
  <c r="AB34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C33" i="3"/>
  <c r="AB33" i="3"/>
  <c r="AT34" i="3"/>
  <c r="AU34" i="3"/>
  <c r="AV34" i="3"/>
  <c r="AW34" i="3"/>
  <c r="AX34" i="3"/>
  <c r="AT35" i="3"/>
  <c r="AU35" i="3"/>
  <c r="AV35" i="3"/>
  <c r="AW35" i="3"/>
  <c r="AX35" i="3"/>
  <c r="AT36" i="3"/>
  <c r="AU36" i="3"/>
  <c r="AV36" i="3"/>
  <c r="AW36" i="3"/>
  <c r="AX36" i="3"/>
  <c r="AT37" i="3"/>
  <c r="AU37" i="3"/>
  <c r="AV37" i="3"/>
  <c r="AW37" i="3"/>
  <c r="AX37" i="3"/>
  <c r="AT38" i="3"/>
  <c r="AU38" i="3"/>
  <c r="AV38" i="3"/>
  <c r="AW38" i="3"/>
  <c r="AX38" i="3"/>
  <c r="AT39" i="3"/>
  <c r="AU39" i="3"/>
  <c r="AV39" i="3"/>
  <c r="AW39" i="3"/>
  <c r="AX39" i="3"/>
  <c r="AT40" i="3"/>
  <c r="AU40" i="3"/>
  <c r="AV40" i="3"/>
  <c r="AW40" i="3"/>
  <c r="AX40" i="3"/>
  <c r="AT41" i="3"/>
  <c r="AU41" i="3"/>
  <c r="AV41" i="3"/>
  <c r="AW41" i="3"/>
  <c r="AX41" i="3"/>
  <c r="AT42" i="3"/>
  <c r="AU42" i="3"/>
  <c r="AV42" i="3"/>
  <c r="AW42" i="3"/>
  <c r="AX42" i="3"/>
  <c r="AT43" i="3"/>
  <c r="AU43" i="3"/>
  <c r="AV43" i="3"/>
  <c r="AW43" i="3"/>
  <c r="AX43" i="3"/>
  <c r="K58" i="3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J49" i="3"/>
  <c r="I49" i="3"/>
  <c r="H49" i="3"/>
  <c r="K48" i="3"/>
  <c r="J48" i="3"/>
  <c r="I48" i="3"/>
  <c r="H48" i="3"/>
  <c r="W28" i="3"/>
  <c r="V28" i="3"/>
  <c r="U28" i="3"/>
  <c r="T28" i="3"/>
  <c r="S28" i="3"/>
  <c r="R28" i="3"/>
  <c r="O28" i="3"/>
  <c r="N28" i="3"/>
  <c r="Q28" i="3"/>
  <c r="P28" i="3"/>
  <c r="W27" i="3"/>
  <c r="V27" i="3"/>
  <c r="U27" i="3"/>
  <c r="T27" i="3"/>
  <c r="S27" i="3"/>
  <c r="R27" i="3"/>
  <c r="O27" i="3"/>
  <c r="N27" i="3"/>
  <c r="Q27" i="3"/>
  <c r="P27" i="3"/>
  <c r="W26" i="3"/>
  <c r="V26" i="3"/>
  <c r="U26" i="3"/>
  <c r="T26" i="3"/>
  <c r="S26" i="3"/>
  <c r="R26" i="3"/>
  <c r="O26" i="3"/>
  <c r="N26" i="3"/>
  <c r="Q26" i="3"/>
  <c r="P26" i="3"/>
  <c r="W25" i="3"/>
  <c r="V25" i="3"/>
  <c r="U25" i="3"/>
  <c r="T25" i="3"/>
  <c r="S25" i="3"/>
  <c r="R25" i="3"/>
  <c r="O25" i="3"/>
  <c r="N25" i="3"/>
  <c r="Q25" i="3"/>
  <c r="P25" i="3"/>
  <c r="W24" i="3"/>
  <c r="V24" i="3"/>
  <c r="U24" i="3"/>
  <c r="T24" i="3"/>
  <c r="S24" i="3"/>
  <c r="R24" i="3"/>
  <c r="O24" i="3"/>
  <c r="N24" i="3"/>
  <c r="Q24" i="3"/>
  <c r="P24" i="3"/>
  <c r="W23" i="3"/>
  <c r="V23" i="3"/>
  <c r="U23" i="3"/>
  <c r="T23" i="3"/>
  <c r="S23" i="3"/>
  <c r="R23" i="3"/>
  <c r="O23" i="3"/>
  <c r="N23" i="3"/>
  <c r="Q23" i="3"/>
  <c r="P23" i="3"/>
  <c r="W22" i="3"/>
  <c r="V22" i="3"/>
  <c r="U22" i="3"/>
  <c r="T22" i="3"/>
  <c r="S22" i="3"/>
  <c r="R22" i="3"/>
  <c r="O22" i="3"/>
  <c r="N22" i="3"/>
  <c r="Q22" i="3"/>
  <c r="P22" i="3"/>
  <c r="W21" i="3"/>
  <c r="V21" i="3"/>
  <c r="U21" i="3"/>
  <c r="T21" i="3"/>
  <c r="S21" i="3"/>
  <c r="R21" i="3"/>
  <c r="O21" i="3"/>
  <c r="N21" i="3"/>
  <c r="Q21" i="3"/>
  <c r="P21" i="3"/>
  <c r="W20" i="3"/>
  <c r="V20" i="3"/>
  <c r="U20" i="3"/>
  <c r="T20" i="3"/>
  <c r="S20" i="3"/>
  <c r="R20" i="3"/>
  <c r="O20" i="3"/>
  <c r="N20" i="3"/>
  <c r="Q20" i="3"/>
  <c r="P20" i="3"/>
  <c r="W19" i="3"/>
  <c r="V19" i="3"/>
  <c r="U19" i="3"/>
  <c r="T19" i="3"/>
  <c r="S19" i="3"/>
  <c r="R19" i="3"/>
  <c r="O19" i="3"/>
  <c r="N19" i="3"/>
  <c r="Q19" i="3"/>
  <c r="P19" i="3"/>
  <c r="W18" i="3"/>
  <c r="V18" i="3"/>
  <c r="U18" i="3"/>
  <c r="T18" i="3"/>
  <c r="S18" i="3"/>
  <c r="R18" i="3"/>
  <c r="O18" i="3"/>
  <c r="N18" i="3"/>
  <c r="Q18" i="3"/>
  <c r="P18" i="3"/>
  <c r="O159" i="9" l="1"/>
  <c r="O72" i="9"/>
  <c r="E82" i="9"/>
  <c r="E74" i="9"/>
  <c r="E159" i="9"/>
  <c r="D82" i="9"/>
  <c r="D74" i="9"/>
  <c r="D159" i="9"/>
  <c r="P60" i="9"/>
  <c r="E60" i="9"/>
  <c r="P159" i="9"/>
  <c r="P72" i="9"/>
  <c r="O60" i="9"/>
  <c r="T60" i="9" s="1"/>
  <c r="D60" i="9"/>
  <c r="W13" i="12"/>
  <c r="V13" i="12"/>
  <c r="W12" i="12"/>
  <c r="V12" i="12"/>
  <c r="W11" i="12"/>
  <c r="V11" i="12"/>
  <c r="W10" i="12"/>
  <c r="V10" i="12"/>
  <c r="W9" i="12"/>
  <c r="V9" i="12"/>
  <c r="W8" i="12"/>
  <c r="V8" i="12"/>
  <c r="W7" i="12"/>
  <c r="V7" i="12"/>
  <c r="W6" i="12"/>
  <c r="V6" i="12"/>
  <c r="W5" i="12"/>
  <c r="V5" i="12"/>
  <c r="W4" i="12"/>
  <c r="V4" i="12"/>
  <c r="W3" i="12"/>
  <c r="V3" i="12"/>
  <c r="U60" i="9" l="1"/>
  <c r="H10" i="16" l="1"/>
  <c r="N3" i="12"/>
  <c r="O3" i="12"/>
  <c r="P3" i="12"/>
  <c r="Q3" i="12"/>
  <c r="R3" i="12"/>
  <c r="S3" i="12"/>
  <c r="T3" i="12"/>
  <c r="U3" i="12"/>
  <c r="N4" i="12"/>
  <c r="O4" i="12"/>
  <c r="P4" i="12"/>
  <c r="Q4" i="12"/>
  <c r="R4" i="12"/>
  <c r="S4" i="12"/>
  <c r="T4" i="12"/>
  <c r="U4" i="12"/>
  <c r="N5" i="12"/>
  <c r="O5" i="12"/>
  <c r="P5" i="12"/>
  <c r="Q5" i="12"/>
  <c r="R5" i="12"/>
  <c r="S5" i="12"/>
  <c r="T5" i="12"/>
  <c r="U5" i="12"/>
  <c r="N6" i="12"/>
  <c r="O6" i="12"/>
  <c r="P6" i="12"/>
  <c r="Q6" i="12"/>
  <c r="R6" i="12"/>
  <c r="S6" i="12"/>
  <c r="T6" i="12"/>
  <c r="U6" i="12"/>
  <c r="N7" i="12"/>
  <c r="O7" i="12"/>
  <c r="P7" i="12"/>
  <c r="Q7" i="12"/>
  <c r="R7" i="12"/>
  <c r="S7" i="12"/>
  <c r="T7" i="12"/>
  <c r="U7" i="12"/>
  <c r="N8" i="12"/>
  <c r="O8" i="12"/>
  <c r="P8" i="12"/>
  <c r="Q8" i="12"/>
  <c r="R8" i="12"/>
  <c r="S8" i="12"/>
  <c r="T8" i="12"/>
  <c r="U8" i="12"/>
  <c r="N9" i="12"/>
  <c r="O9" i="12"/>
  <c r="P9" i="12"/>
  <c r="Q9" i="12"/>
  <c r="R9" i="12"/>
  <c r="S9" i="12"/>
  <c r="T9" i="12"/>
  <c r="U9" i="12"/>
  <c r="N10" i="12"/>
  <c r="O10" i="12"/>
  <c r="P10" i="12"/>
  <c r="Q10" i="12"/>
  <c r="R10" i="12"/>
  <c r="S10" i="12"/>
  <c r="T10" i="12"/>
  <c r="U10" i="12"/>
  <c r="N11" i="12"/>
  <c r="O11" i="12"/>
  <c r="P11" i="12"/>
  <c r="Q11" i="12"/>
  <c r="R11" i="12"/>
  <c r="S11" i="12"/>
  <c r="T11" i="12"/>
  <c r="U11" i="12"/>
  <c r="N12" i="12"/>
  <c r="O12" i="12"/>
  <c r="P12" i="12"/>
  <c r="Q12" i="12"/>
  <c r="R12" i="12"/>
  <c r="S12" i="12"/>
  <c r="T12" i="12"/>
  <c r="U12" i="12"/>
  <c r="N13" i="12"/>
  <c r="O13" i="12"/>
  <c r="P13" i="12"/>
  <c r="Q13" i="12"/>
  <c r="R13" i="12"/>
  <c r="S13" i="12"/>
  <c r="T13" i="12"/>
  <c r="U13" i="12"/>
  <c r="F57" i="8" l="1"/>
  <c r="P183" i="9" l="1"/>
  <c r="O183" i="9"/>
  <c r="T183" i="9" s="1"/>
  <c r="P284" i="9"/>
  <c r="O284" i="9"/>
  <c r="T284" i="9" s="1"/>
  <c r="E284" i="9"/>
  <c r="D284" i="9"/>
  <c r="I284" i="9" s="1"/>
  <c r="P270" i="9"/>
  <c r="O270" i="9"/>
  <c r="T270" i="9" s="1"/>
  <c r="O262" i="9"/>
  <c r="T262" i="9" s="1"/>
  <c r="D271" i="9"/>
  <c r="I271" i="9" s="1"/>
  <c r="D262" i="9"/>
  <c r="I262" i="9" s="1"/>
  <c r="P262" i="9"/>
  <c r="E271" i="9"/>
  <c r="E262" i="9"/>
  <c r="P245" i="9"/>
  <c r="O245" i="9"/>
  <c r="T245" i="9" s="1"/>
  <c r="O237" i="9"/>
  <c r="T237" i="9" s="1"/>
  <c r="P237" i="9"/>
  <c r="O229" i="9"/>
  <c r="T229" i="9" s="1"/>
  <c r="P229" i="9"/>
  <c r="P220" i="9"/>
  <c r="O220" i="9"/>
  <c r="T220" i="9" s="1"/>
  <c r="P210" i="9"/>
  <c r="O210" i="9"/>
  <c r="T210" i="9" s="1"/>
  <c r="E239" i="9"/>
  <c r="E249" i="9"/>
  <c r="D239" i="9"/>
  <c r="I239" i="9" s="1"/>
  <c r="D249" i="9"/>
  <c r="I249" i="9" s="1"/>
  <c r="E230" i="9"/>
  <c r="D230" i="9"/>
  <c r="I230" i="9" s="1"/>
  <c r="E220" i="9"/>
  <c r="E210" i="9"/>
  <c r="D220" i="9"/>
  <c r="I220" i="9" s="1"/>
  <c r="D210" i="9"/>
  <c r="I210" i="9" s="1"/>
  <c r="P177" i="9"/>
  <c r="E197" i="9"/>
  <c r="D197" i="9"/>
  <c r="I197" i="9" s="1"/>
  <c r="E187" i="9"/>
  <c r="O177" i="9"/>
  <c r="T177" i="9" s="1"/>
  <c r="D187" i="9"/>
  <c r="I187" i="9" s="1"/>
  <c r="E177" i="9"/>
  <c r="D177" i="9"/>
  <c r="I177" i="9" s="1"/>
  <c r="P140" i="9"/>
  <c r="O140" i="9"/>
  <c r="T140" i="9" s="1"/>
  <c r="P132" i="9"/>
  <c r="O132" i="9"/>
  <c r="T132" i="9" s="1"/>
  <c r="P121" i="9"/>
  <c r="O121" i="9"/>
  <c r="T121" i="9" s="1"/>
  <c r="P6" i="9"/>
  <c r="N185" i="9" s="1"/>
  <c r="N186" i="9" s="1"/>
  <c r="P110" i="9"/>
  <c r="O110" i="9"/>
  <c r="T110" i="9" s="1"/>
  <c r="O98" i="9"/>
  <c r="T98" i="9" s="1"/>
  <c r="P98" i="9"/>
  <c r="E46" i="9"/>
  <c r="E144" i="9"/>
  <c r="D144" i="9"/>
  <c r="I144" i="9" s="1"/>
  <c r="E129" i="9"/>
  <c r="D129" i="9"/>
  <c r="I129" i="9" s="1"/>
  <c r="D113" i="9"/>
  <c r="I113" i="9" s="1"/>
  <c r="E113" i="9"/>
  <c r="D98" i="9"/>
  <c r="I98" i="9" s="1"/>
  <c r="D31" i="9"/>
  <c r="I31" i="9" s="1"/>
  <c r="I74" i="9"/>
  <c r="I60" i="9"/>
  <c r="E98" i="9"/>
  <c r="E31" i="9"/>
  <c r="D46" i="9"/>
  <c r="I46" i="9" s="1"/>
  <c r="O6" i="9"/>
  <c r="T6" i="9" s="1"/>
  <c r="I82" i="9"/>
  <c r="T159" i="9"/>
  <c r="I159" i="9"/>
  <c r="P21" i="9"/>
  <c r="O21" i="9"/>
  <c r="T21" i="9" s="1"/>
  <c r="T72" i="9"/>
  <c r="U183" i="9" l="1"/>
  <c r="R185" i="9"/>
  <c r="R286" i="9"/>
  <c r="U284" i="9"/>
  <c r="N272" i="9"/>
  <c r="N273" i="9" s="1"/>
  <c r="N274" i="9" s="1"/>
  <c r="N275" i="9" s="1"/>
  <c r="N276" i="9" s="1"/>
  <c r="N286" i="9"/>
  <c r="N287" i="9" s="1"/>
  <c r="N288" i="9" s="1"/>
  <c r="N289" i="9" s="1"/>
  <c r="N290" i="9" s="1"/>
  <c r="N291" i="9" s="1"/>
  <c r="N292" i="9" s="1"/>
  <c r="N293" i="9" s="1"/>
  <c r="N294" i="9" s="1"/>
  <c r="N295" i="9" s="1"/>
  <c r="N296" i="9" s="1"/>
  <c r="N297" i="9" s="1"/>
  <c r="N298" i="9" s="1"/>
  <c r="N299" i="9" s="1"/>
  <c r="N300" i="9" s="1"/>
  <c r="N301" i="9" s="1"/>
  <c r="N302" i="9" s="1"/>
  <c r="N303" i="9" s="1"/>
  <c r="N304" i="9" s="1"/>
  <c r="N305" i="9" s="1"/>
  <c r="N306" i="9" s="1"/>
  <c r="N307" i="9" s="1"/>
  <c r="N308" i="9" s="1"/>
  <c r="N309" i="9" s="1"/>
  <c r="N310" i="9" s="1"/>
  <c r="N311" i="9" s="1"/>
  <c r="N312" i="9" s="1"/>
  <c r="N313" i="9" s="1"/>
  <c r="N314" i="9" s="1"/>
  <c r="N315" i="9" s="1"/>
  <c r="N316" i="9" s="1"/>
  <c r="N317" i="9" s="1"/>
  <c r="N318" i="9" s="1"/>
  <c r="N319" i="9" s="1"/>
  <c r="N320" i="9" s="1"/>
  <c r="N321" i="9" s="1"/>
  <c r="N322" i="9" s="1"/>
  <c r="N323" i="9" s="1"/>
  <c r="N324" i="9" s="1"/>
  <c r="N325" i="9" s="1"/>
  <c r="J284" i="9"/>
  <c r="R272" i="9"/>
  <c r="U270" i="9"/>
  <c r="J271" i="9"/>
  <c r="R264" i="9"/>
  <c r="J262" i="9"/>
  <c r="N247" i="9"/>
  <c r="N248" i="9" s="1"/>
  <c r="N249" i="9" s="1"/>
  <c r="N250" i="9" s="1"/>
  <c r="N264" i="9"/>
  <c r="N265" i="9" s="1"/>
  <c r="N266" i="9" s="1"/>
  <c r="N267" i="9" s="1"/>
  <c r="U262" i="9"/>
  <c r="R247" i="9"/>
  <c r="U245" i="9"/>
  <c r="U237" i="9"/>
  <c r="N231" i="9"/>
  <c r="N232" i="9" s="1"/>
  <c r="N233" i="9" s="1"/>
  <c r="N234" i="9" s="1"/>
  <c r="N239" i="9"/>
  <c r="N240" i="9" s="1"/>
  <c r="N241" i="9" s="1"/>
  <c r="N242" i="9" s="1"/>
  <c r="U229" i="9"/>
  <c r="U220" i="9"/>
  <c r="J249" i="9"/>
  <c r="U210" i="9"/>
  <c r="N8" i="9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212" i="9"/>
  <c r="N213" i="9" s="1"/>
  <c r="N214" i="9" s="1"/>
  <c r="N215" i="9" s="1"/>
  <c r="N216" i="9" s="1"/>
  <c r="N217" i="9" s="1"/>
  <c r="N222" i="9"/>
  <c r="N223" i="9" s="1"/>
  <c r="N224" i="9" s="1"/>
  <c r="N225" i="9" s="1"/>
  <c r="N226" i="9" s="1"/>
  <c r="J239" i="9"/>
  <c r="J230" i="9"/>
  <c r="J210" i="9"/>
  <c r="J220" i="9"/>
  <c r="U6" i="9"/>
  <c r="J31" i="9"/>
  <c r="J144" i="9"/>
  <c r="U98" i="9"/>
  <c r="J187" i="9"/>
  <c r="U159" i="9"/>
  <c r="U110" i="9"/>
  <c r="J177" i="9"/>
  <c r="U21" i="9"/>
  <c r="J82" i="9"/>
  <c r="J74" i="9"/>
  <c r="N142" i="9"/>
  <c r="N143" i="9" s="1"/>
  <c r="N179" i="9"/>
  <c r="N180" i="9" s="1"/>
  <c r="J197" i="9"/>
  <c r="J113" i="9"/>
  <c r="U121" i="9"/>
  <c r="J159" i="9"/>
  <c r="J46" i="9"/>
  <c r="J98" i="9"/>
  <c r="U177" i="9"/>
  <c r="U72" i="9"/>
  <c r="J60" i="9"/>
  <c r="J129" i="9"/>
  <c r="U132" i="9"/>
  <c r="R134" i="9"/>
  <c r="U140" i="9"/>
  <c r="R142" i="9"/>
  <c r="N134" i="9"/>
  <c r="N135" i="9" s="1"/>
  <c r="N136" i="9" s="1"/>
  <c r="N137" i="9" s="1"/>
  <c r="N123" i="9"/>
  <c r="N124" i="9" s="1"/>
  <c r="N125" i="9" s="1"/>
  <c r="N126" i="9" s="1"/>
  <c r="N127" i="9" s="1"/>
  <c r="N128" i="9" s="1"/>
  <c r="N129" i="9" s="1"/>
  <c r="C161" i="9"/>
  <c r="C162" i="9" s="1"/>
  <c r="C163" i="9" s="1"/>
  <c r="C164" i="9" s="1"/>
  <c r="C165" i="9" s="1"/>
  <c r="N23" i="9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161" i="9"/>
  <c r="N162" i="9" s="1"/>
  <c r="N163" i="9" s="1"/>
  <c r="N164" i="9" s="1"/>
  <c r="N165" i="9" s="1"/>
  <c r="N166" i="9" s="1"/>
  <c r="N167" i="9" s="1"/>
  <c r="N168" i="9" s="1"/>
  <c r="N169" i="9" s="1"/>
  <c r="N170" i="9" s="1"/>
  <c r="N112" i="9"/>
  <c r="N113" i="9" s="1"/>
  <c r="N114" i="9" s="1"/>
  <c r="N115" i="9" s="1"/>
  <c r="N116" i="9" s="1"/>
  <c r="N117" i="9" s="1"/>
  <c r="N118" i="9" s="1"/>
  <c r="H11" i="16" l="1"/>
  <c r="B11" i="16"/>
  <c r="B21" i="16"/>
  <c r="B8" i="16"/>
  <c r="H23" i="16"/>
  <c r="H25" i="16"/>
  <c r="N14" i="16"/>
  <c r="B23" i="16"/>
  <c r="N13" i="16"/>
  <c r="H24" i="16"/>
  <c r="N9" i="16"/>
  <c r="N7" i="16"/>
  <c r="N8" i="16"/>
  <c r="H7" i="16"/>
  <c r="N12" i="16"/>
  <c r="N10" i="16"/>
  <c r="H20" i="16"/>
  <c r="N21" i="16"/>
  <c r="T7" i="16"/>
  <c r="N20" i="16"/>
  <c r="T21" i="16"/>
  <c r="B20" i="16"/>
  <c r="N11" i="16"/>
  <c r="H21" i="16"/>
  <c r="N22" i="16"/>
  <c r="T20" i="16"/>
  <c r="H26" i="16"/>
  <c r="H28" i="16"/>
  <c r="N15" i="16"/>
  <c r="H8" i="16"/>
  <c r="B12" i="16"/>
  <c r="B22" i="16"/>
  <c r="H9" i="16"/>
  <c r="T8" i="16"/>
  <c r="B10" i="16"/>
  <c r="H22" i="16"/>
  <c r="H27" i="16"/>
  <c r="H29" i="16"/>
  <c r="N23" i="16"/>
  <c r="B24" i="16"/>
  <c r="T185" i="9"/>
  <c r="S185" i="9"/>
  <c r="Q185" i="9"/>
  <c r="Q286" i="9"/>
  <c r="S286" i="9"/>
  <c r="T286" i="9"/>
  <c r="Q272" i="9"/>
  <c r="S272" i="9"/>
  <c r="T272" i="9"/>
  <c r="Q264" i="9"/>
  <c r="T264" i="9"/>
  <c r="S264" i="9"/>
  <c r="Q247" i="9"/>
  <c r="T247" i="9"/>
  <c r="S247" i="9"/>
  <c r="Q142" i="9"/>
  <c r="Q134" i="9"/>
  <c r="S142" i="9"/>
  <c r="T142" i="9"/>
  <c r="T134" i="9"/>
  <c r="S134" i="9"/>
  <c r="K13" i="10"/>
  <c r="J13" i="10"/>
  <c r="I13" i="10"/>
  <c r="H13" i="10"/>
  <c r="K12" i="10"/>
  <c r="J12" i="10"/>
  <c r="I12" i="10"/>
  <c r="H12" i="10"/>
  <c r="K11" i="10"/>
  <c r="J11" i="10"/>
  <c r="I11" i="10"/>
  <c r="H11" i="10"/>
  <c r="K10" i="10"/>
  <c r="J10" i="10"/>
  <c r="I10" i="10"/>
  <c r="H10" i="10"/>
  <c r="K9" i="10"/>
  <c r="J9" i="10"/>
  <c r="I9" i="10"/>
  <c r="H9" i="10"/>
  <c r="K8" i="10"/>
  <c r="J8" i="10"/>
  <c r="I8" i="10"/>
  <c r="H8" i="10"/>
  <c r="K7" i="10"/>
  <c r="J7" i="10"/>
  <c r="I7" i="10"/>
  <c r="H7" i="10"/>
  <c r="K6" i="10"/>
  <c r="J6" i="10"/>
  <c r="I6" i="10"/>
  <c r="H6" i="10"/>
  <c r="K5" i="10"/>
  <c r="J5" i="10"/>
  <c r="I5" i="10"/>
  <c r="H5" i="10"/>
  <c r="K4" i="10"/>
  <c r="J4" i="10"/>
  <c r="I4" i="10"/>
  <c r="H4" i="10"/>
  <c r="K3" i="10"/>
  <c r="J3" i="10"/>
  <c r="I3" i="10"/>
  <c r="H3" i="10"/>
  <c r="E21" i="9"/>
  <c r="D21" i="9"/>
  <c r="I21" i="9" s="1"/>
  <c r="E6" i="9"/>
  <c r="C286" i="9" s="1"/>
  <c r="C287" i="9" s="1"/>
  <c r="C288" i="9" s="1"/>
  <c r="C289" i="9" s="1"/>
  <c r="C290" i="9" s="1"/>
  <c r="C291" i="9" s="1"/>
  <c r="C292" i="9" s="1"/>
  <c r="C293" i="9" s="1"/>
  <c r="C294" i="9" s="1"/>
  <c r="C295" i="9" s="1"/>
  <c r="C296" i="9" s="1"/>
  <c r="C297" i="9" s="1"/>
  <c r="C298" i="9" s="1"/>
  <c r="C299" i="9" s="1"/>
  <c r="C300" i="9" s="1"/>
  <c r="C301" i="9" s="1"/>
  <c r="C302" i="9" s="1"/>
  <c r="C303" i="9" s="1"/>
  <c r="C304" i="9" s="1"/>
  <c r="C305" i="9" s="1"/>
  <c r="C306" i="9" s="1"/>
  <c r="C307" i="9" s="1"/>
  <c r="C308" i="9" s="1"/>
  <c r="C309" i="9" s="1"/>
  <c r="C310" i="9" s="1"/>
  <c r="C311" i="9" s="1"/>
  <c r="C312" i="9" s="1"/>
  <c r="C313" i="9" s="1"/>
  <c r="C314" i="9" s="1"/>
  <c r="C315" i="9" s="1"/>
  <c r="C316" i="9" s="1"/>
  <c r="C317" i="9" s="1"/>
  <c r="C318" i="9" s="1"/>
  <c r="C319" i="9" s="1"/>
  <c r="C320" i="9" s="1"/>
  <c r="C321" i="9" s="1"/>
  <c r="C322" i="9" s="1"/>
  <c r="C323" i="9" s="1"/>
  <c r="C324" i="9" s="1"/>
  <c r="C325" i="9" s="1"/>
  <c r="D6" i="9"/>
  <c r="I6" i="9" s="1"/>
  <c r="H12" i="16" l="1"/>
  <c r="T22" i="16"/>
  <c r="N24" i="16"/>
  <c r="B25" i="16"/>
  <c r="N16" i="16"/>
  <c r="T9" i="16"/>
  <c r="H30" i="16"/>
  <c r="U185" i="9"/>
  <c r="V286" i="9"/>
  <c r="U286" i="9"/>
  <c r="V185" i="9"/>
  <c r="V272" i="9"/>
  <c r="U272" i="9"/>
  <c r="U264" i="9"/>
  <c r="U247" i="9"/>
  <c r="V264" i="9"/>
  <c r="C264" i="9"/>
  <c r="C273" i="9"/>
  <c r="V247" i="9"/>
  <c r="V142" i="9"/>
  <c r="U142" i="9"/>
  <c r="C251" i="9"/>
  <c r="C241" i="9"/>
  <c r="C212" i="9"/>
  <c r="C232" i="9"/>
  <c r="C222" i="9"/>
  <c r="V134" i="9"/>
  <c r="U134" i="9"/>
  <c r="J21" i="9"/>
  <c r="G23" i="9"/>
  <c r="C199" i="9"/>
  <c r="C189" i="9"/>
  <c r="J6" i="9"/>
  <c r="N100" i="9"/>
  <c r="C179" i="9"/>
  <c r="C115" i="9"/>
  <c r="C131" i="9"/>
  <c r="C146" i="9"/>
  <c r="N74" i="9"/>
  <c r="C100" i="9"/>
  <c r="C84" i="9"/>
  <c r="N62" i="9"/>
  <c r="C76" i="9"/>
  <c r="C62" i="9"/>
  <c r="C48" i="9"/>
  <c r="C33" i="9"/>
  <c r="C23" i="9"/>
  <c r="C24" i="9" s="1"/>
  <c r="C25" i="9" s="1"/>
  <c r="C8" i="9"/>
  <c r="C9" i="9" s="1"/>
  <c r="C10" i="9" s="1"/>
  <c r="C11" i="9" s="1"/>
  <c r="C12" i="9" s="1"/>
  <c r="C13" i="9" s="1"/>
  <c r="C14" i="9" s="1"/>
  <c r="C15" i="9" s="1"/>
  <c r="C16" i="9" s="1"/>
  <c r="B9" i="16" l="1"/>
  <c r="B7" i="16"/>
  <c r="C17" i="9"/>
  <c r="C18" i="9" s="1"/>
  <c r="C274" i="9"/>
  <c r="C265" i="9"/>
  <c r="C252" i="9"/>
  <c r="C242" i="9"/>
  <c r="C233" i="9"/>
  <c r="C223" i="9"/>
  <c r="C213" i="9"/>
  <c r="F23" i="9"/>
  <c r="C200" i="9"/>
  <c r="N75" i="9"/>
  <c r="N76" i="9" s="1"/>
  <c r="N101" i="9"/>
  <c r="C190" i="9"/>
  <c r="C180" i="9"/>
  <c r="C147" i="9"/>
  <c r="C132" i="9"/>
  <c r="C116" i="9"/>
  <c r="C101" i="9"/>
  <c r="C85" i="9"/>
  <c r="N63" i="9"/>
  <c r="C63" i="9"/>
  <c r="C77" i="9"/>
  <c r="C34" i="9"/>
  <c r="C49" i="9"/>
  <c r="C26" i="9"/>
  <c r="I40" i="8"/>
  <c r="I39" i="8"/>
  <c r="I38" i="8"/>
  <c r="F40" i="8"/>
  <c r="F39" i="8"/>
  <c r="F38" i="8"/>
  <c r="B13" i="16" l="1"/>
  <c r="N77" i="9"/>
  <c r="C266" i="9"/>
  <c r="C275" i="9"/>
  <c r="C253" i="9"/>
  <c r="C234" i="9"/>
  <c r="C243" i="9"/>
  <c r="C214" i="9"/>
  <c r="C224" i="9"/>
  <c r="C191" i="9"/>
  <c r="C201" i="9"/>
  <c r="N102" i="9"/>
  <c r="C181" i="9"/>
  <c r="C148" i="9"/>
  <c r="C117" i="9"/>
  <c r="C133" i="9"/>
  <c r="C102" i="9"/>
  <c r="C78" i="9"/>
  <c r="C86" i="9"/>
  <c r="N64" i="9"/>
  <c r="C64" i="9"/>
  <c r="C50" i="9"/>
  <c r="C35" i="9"/>
  <c r="I23" i="9"/>
  <c r="K23" i="9" s="1"/>
  <c r="H23" i="9"/>
  <c r="J23" i="9" s="1"/>
  <c r="C27" i="9"/>
  <c r="N78" i="9" l="1"/>
  <c r="C267" i="9"/>
  <c r="C276" i="9"/>
  <c r="C254" i="9"/>
  <c r="C235" i="9"/>
  <c r="C244" i="9"/>
  <c r="C215" i="9"/>
  <c r="C225" i="9"/>
  <c r="N103" i="9"/>
  <c r="C202" i="9"/>
  <c r="C192" i="9"/>
  <c r="C193" i="9" s="1"/>
  <c r="C182" i="9"/>
  <c r="C79" i="9"/>
  <c r="C149" i="9"/>
  <c r="C134" i="9"/>
  <c r="C118" i="9"/>
  <c r="C103" i="9"/>
  <c r="C87" i="9"/>
  <c r="N65" i="9"/>
  <c r="C65" i="9"/>
  <c r="C36" i="9"/>
  <c r="C51" i="9"/>
  <c r="C28" i="9"/>
  <c r="AX3" i="2"/>
  <c r="AX4" i="2" l="1"/>
  <c r="G287" i="9" s="1"/>
  <c r="F287" i="9" s="1"/>
  <c r="R287" i="9"/>
  <c r="C194" i="9"/>
  <c r="C183" i="9"/>
  <c r="R180" i="9"/>
  <c r="R273" i="9"/>
  <c r="R231" i="9"/>
  <c r="G251" i="9"/>
  <c r="R212" i="9"/>
  <c r="G241" i="9"/>
  <c r="G213" i="9"/>
  <c r="G222" i="9"/>
  <c r="G33" i="9"/>
  <c r="R101" i="9"/>
  <c r="G190" i="9"/>
  <c r="R113" i="9"/>
  <c r="G179" i="9"/>
  <c r="G85" i="9"/>
  <c r="G199" i="9"/>
  <c r="G162" i="9"/>
  <c r="G62" i="9"/>
  <c r="G63" i="9"/>
  <c r="G132" i="9"/>
  <c r="G273" i="9"/>
  <c r="R240" i="9"/>
  <c r="R8" i="9"/>
  <c r="R9" i="9"/>
  <c r="R100" i="9"/>
  <c r="G180" i="9"/>
  <c r="G76" i="9"/>
  <c r="G34" i="9"/>
  <c r="G146" i="9"/>
  <c r="R161" i="9"/>
  <c r="R63" i="9"/>
  <c r="R62" i="9"/>
  <c r="Q62" i="9" s="1"/>
  <c r="G48" i="9"/>
  <c r="G101" i="9"/>
  <c r="R75" i="9"/>
  <c r="R143" i="9"/>
  <c r="R186" i="9"/>
  <c r="G286" i="9"/>
  <c r="R265" i="9"/>
  <c r="G274" i="9"/>
  <c r="G265" i="9"/>
  <c r="R248" i="9"/>
  <c r="R239" i="9"/>
  <c r="R222" i="9"/>
  <c r="G242" i="9"/>
  <c r="G233" i="9"/>
  <c r="G147" i="9"/>
  <c r="G189" i="9"/>
  <c r="R162" i="9"/>
  <c r="R112" i="9"/>
  <c r="G84" i="9"/>
  <c r="G77" i="9"/>
  <c r="G200" i="9"/>
  <c r="G115" i="9"/>
  <c r="G161" i="9"/>
  <c r="G49" i="9"/>
  <c r="G100" i="9"/>
  <c r="R179" i="9"/>
  <c r="R74" i="9"/>
  <c r="R135" i="9"/>
  <c r="G252" i="9"/>
  <c r="R213" i="9"/>
  <c r="G223" i="9"/>
  <c r="R24" i="9"/>
  <c r="R123" i="9"/>
  <c r="G264" i="9"/>
  <c r="R232" i="9"/>
  <c r="R223" i="9"/>
  <c r="G232" i="9"/>
  <c r="G212" i="9"/>
  <c r="R23" i="9"/>
  <c r="G116" i="9"/>
  <c r="R124" i="9"/>
  <c r="G131" i="9"/>
  <c r="G24" i="9"/>
  <c r="G8" i="9"/>
  <c r="G9" i="9"/>
  <c r="C268" i="9"/>
  <c r="C277" i="9"/>
  <c r="C255" i="9"/>
  <c r="C236" i="9"/>
  <c r="C245" i="9"/>
  <c r="C216" i="9"/>
  <c r="C226" i="9"/>
  <c r="N104" i="9"/>
  <c r="C203" i="9"/>
  <c r="C150" i="9"/>
  <c r="C119" i="9"/>
  <c r="C135" i="9"/>
  <c r="C104" i="9"/>
  <c r="C88" i="9"/>
  <c r="N66" i="9"/>
  <c r="C66" i="9"/>
  <c r="C52" i="9"/>
  <c r="C37" i="9"/>
  <c r="AA13" i="3"/>
  <c r="AA12" i="3"/>
  <c r="AA11" i="3"/>
  <c r="AA10" i="3"/>
  <c r="AA9" i="3"/>
  <c r="AA8" i="3"/>
  <c r="AA7" i="3"/>
  <c r="AA6" i="3"/>
  <c r="AA5" i="3"/>
  <c r="AA4" i="3"/>
  <c r="AA3" i="3"/>
  <c r="Y13" i="3"/>
  <c r="Y12" i="3"/>
  <c r="Y11" i="3"/>
  <c r="Y10" i="3"/>
  <c r="Y9" i="3"/>
  <c r="Y8" i="3"/>
  <c r="Y7" i="3"/>
  <c r="Y6" i="3"/>
  <c r="Y5" i="3"/>
  <c r="Y4" i="3"/>
  <c r="Y3" i="3"/>
  <c r="W13" i="3"/>
  <c r="W12" i="3"/>
  <c r="W11" i="3"/>
  <c r="W10" i="3"/>
  <c r="W9" i="3"/>
  <c r="W8" i="3"/>
  <c r="W7" i="3"/>
  <c r="W6" i="3"/>
  <c r="W5" i="3"/>
  <c r="W4" i="3"/>
  <c r="W3" i="3"/>
  <c r="U13" i="3"/>
  <c r="U12" i="3"/>
  <c r="U11" i="3"/>
  <c r="U10" i="3"/>
  <c r="U9" i="3"/>
  <c r="U8" i="3"/>
  <c r="U7" i="3"/>
  <c r="U6" i="3"/>
  <c r="U5" i="3"/>
  <c r="U4" i="3"/>
  <c r="U3" i="3"/>
  <c r="S13" i="3"/>
  <c r="S12" i="3"/>
  <c r="S11" i="3"/>
  <c r="S10" i="3"/>
  <c r="S9" i="3"/>
  <c r="S8" i="3"/>
  <c r="S7" i="3"/>
  <c r="S6" i="3"/>
  <c r="S5" i="3"/>
  <c r="S4" i="3"/>
  <c r="S3" i="3"/>
  <c r="Q5" i="3"/>
  <c r="Q6" i="3"/>
  <c r="Q7" i="3"/>
  <c r="Q8" i="3"/>
  <c r="Q9" i="3"/>
  <c r="Q10" i="3"/>
  <c r="Q11" i="3"/>
  <c r="Q12" i="3"/>
  <c r="Q13" i="3"/>
  <c r="Q4" i="3"/>
  <c r="Q3" i="3"/>
  <c r="Z13" i="3"/>
  <c r="Z12" i="3"/>
  <c r="Z11" i="3"/>
  <c r="Z10" i="3"/>
  <c r="Z9" i="3"/>
  <c r="Z8" i="3"/>
  <c r="Z7" i="3"/>
  <c r="Z6" i="3"/>
  <c r="Z5" i="3"/>
  <c r="Z4" i="3"/>
  <c r="Z3" i="3"/>
  <c r="X13" i="3"/>
  <c r="X12" i="3"/>
  <c r="X11" i="3"/>
  <c r="X10" i="3"/>
  <c r="X9" i="3"/>
  <c r="X8" i="3"/>
  <c r="X7" i="3"/>
  <c r="X6" i="3"/>
  <c r="X5" i="3"/>
  <c r="X4" i="3"/>
  <c r="X3" i="3"/>
  <c r="V13" i="3"/>
  <c r="V12" i="3"/>
  <c r="V11" i="3"/>
  <c r="V10" i="3"/>
  <c r="V9" i="3"/>
  <c r="V8" i="3"/>
  <c r="V7" i="3"/>
  <c r="V6" i="3"/>
  <c r="V5" i="3"/>
  <c r="V4" i="3"/>
  <c r="V3" i="3"/>
  <c r="T13" i="3"/>
  <c r="T12" i="3"/>
  <c r="T11" i="3"/>
  <c r="T10" i="3"/>
  <c r="T9" i="3"/>
  <c r="T8" i="3"/>
  <c r="T7" i="3"/>
  <c r="T6" i="3"/>
  <c r="T5" i="3"/>
  <c r="T4" i="3"/>
  <c r="T3" i="3"/>
  <c r="R13" i="3"/>
  <c r="R12" i="3"/>
  <c r="R11" i="3"/>
  <c r="R10" i="3"/>
  <c r="R9" i="3"/>
  <c r="R8" i="3"/>
  <c r="R7" i="3"/>
  <c r="R6" i="3"/>
  <c r="R5" i="3"/>
  <c r="R4" i="3"/>
  <c r="R3" i="3"/>
  <c r="P5" i="3"/>
  <c r="P6" i="3"/>
  <c r="P7" i="3"/>
  <c r="P8" i="3"/>
  <c r="P9" i="3"/>
  <c r="P10" i="3"/>
  <c r="P11" i="3"/>
  <c r="P12" i="3"/>
  <c r="P13" i="3"/>
  <c r="P4" i="3"/>
  <c r="P3" i="3"/>
  <c r="AX5" i="2" l="1"/>
  <c r="G181" i="9" s="1"/>
  <c r="R136" i="9"/>
  <c r="R266" i="9"/>
  <c r="R241" i="9"/>
  <c r="R288" i="9"/>
  <c r="G266" i="9"/>
  <c r="G214" i="9"/>
  <c r="R249" i="9"/>
  <c r="R274" i="9"/>
  <c r="G275" i="9"/>
  <c r="R233" i="9"/>
  <c r="R224" i="9"/>
  <c r="G64" i="9"/>
  <c r="G50" i="9"/>
  <c r="G78" i="9"/>
  <c r="G163" i="9"/>
  <c r="G25" i="9"/>
  <c r="G10" i="9"/>
  <c r="C184" i="9"/>
  <c r="F24" i="9"/>
  <c r="H24" i="9"/>
  <c r="I24" i="9"/>
  <c r="Q23" i="9"/>
  <c r="S23" i="9"/>
  <c r="Q232" i="9"/>
  <c r="S232" i="9"/>
  <c r="T232" i="9"/>
  <c r="H273" i="9"/>
  <c r="I273" i="9"/>
  <c r="F273" i="9"/>
  <c r="I190" i="9"/>
  <c r="H190" i="9"/>
  <c r="F190" i="9"/>
  <c r="H131" i="9"/>
  <c r="I131" i="9"/>
  <c r="F131" i="9"/>
  <c r="H212" i="9"/>
  <c r="I212" i="9"/>
  <c r="F212" i="9"/>
  <c r="I264" i="9"/>
  <c r="H264" i="9"/>
  <c r="F264" i="9"/>
  <c r="S123" i="9"/>
  <c r="Q123" i="9"/>
  <c r="T123" i="9"/>
  <c r="I252" i="9"/>
  <c r="H252" i="9"/>
  <c r="F252" i="9"/>
  <c r="S74" i="9"/>
  <c r="T74" i="9"/>
  <c r="Q74" i="9"/>
  <c r="H147" i="9"/>
  <c r="I147" i="9"/>
  <c r="F147" i="9"/>
  <c r="S265" i="9"/>
  <c r="Q265" i="9"/>
  <c r="T265" i="9"/>
  <c r="I101" i="9"/>
  <c r="H101" i="9"/>
  <c r="F101" i="9"/>
  <c r="S9" i="9"/>
  <c r="Q9" i="9"/>
  <c r="F9" i="9"/>
  <c r="H9" i="9"/>
  <c r="S124" i="9"/>
  <c r="Q124" i="9"/>
  <c r="T124" i="9"/>
  <c r="H232" i="9"/>
  <c r="I232" i="9"/>
  <c r="F232" i="9"/>
  <c r="Q24" i="9"/>
  <c r="S24" i="9"/>
  <c r="S179" i="9"/>
  <c r="Q179" i="9"/>
  <c r="T179" i="9"/>
  <c r="I115" i="9"/>
  <c r="H115" i="9"/>
  <c r="F115" i="9"/>
  <c r="Q112" i="9"/>
  <c r="T112" i="9"/>
  <c r="S112" i="9"/>
  <c r="H233" i="9"/>
  <c r="I233" i="9"/>
  <c r="F233" i="9"/>
  <c r="S248" i="9"/>
  <c r="T248" i="9"/>
  <c r="Q248" i="9"/>
  <c r="H286" i="9"/>
  <c r="I286" i="9"/>
  <c r="F286" i="9"/>
  <c r="S186" i="9"/>
  <c r="Q186" i="9"/>
  <c r="V183" i="9" s="1"/>
  <c r="T186" i="9"/>
  <c r="H48" i="9"/>
  <c r="I48" i="9"/>
  <c r="F48" i="9"/>
  <c r="I146" i="9"/>
  <c r="H146" i="9"/>
  <c r="F146" i="9"/>
  <c r="H76" i="9"/>
  <c r="I76" i="9"/>
  <c r="F76" i="9"/>
  <c r="Q8" i="9"/>
  <c r="S8" i="9"/>
  <c r="H62" i="9"/>
  <c r="I62" i="9"/>
  <c r="F62" i="9"/>
  <c r="I179" i="9"/>
  <c r="H179" i="9"/>
  <c r="F179" i="9"/>
  <c r="H33" i="9"/>
  <c r="F33" i="9"/>
  <c r="S212" i="9"/>
  <c r="T212" i="9"/>
  <c r="Q212" i="9"/>
  <c r="T287" i="9"/>
  <c r="S287" i="9"/>
  <c r="Q287" i="9"/>
  <c r="S213" i="9"/>
  <c r="Q213" i="9"/>
  <c r="T213" i="9"/>
  <c r="Q135" i="9"/>
  <c r="S135" i="9"/>
  <c r="T135" i="9"/>
  <c r="I49" i="9"/>
  <c r="H49" i="9"/>
  <c r="F49" i="9"/>
  <c r="I77" i="9"/>
  <c r="H77" i="9"/>
  <c r="F77" i="9"/>
  <c r="I189" i="9"/>
  <c r="H189" i="9"/>
  <c r="F189" i="9"/>
  <c r="T222" i="9"/>
  <c r="S222" i="9"/>
  <c r="Q222" i="9"/>
  <c r="I274" i="9"/>
  <c r="H274" i="9"/>
  <c r="F274" i="9"/>
  <c r="T75" i="9"/>
  <c r="S75" i="9"/>
  <c r="Q75" i="9"/>
  <c r="S63" i="9"/>
  <c r="T63" i="9"/>
  <c r="Q63" i="9"/>
  <c r="T100" i="9"/>
  <c r="S100" i="9"/>
  <c r="Q100" i="9"/>
  <c r="H132" i="9"/>
  <c r="I132" i="9"/>
  <c r="F132" i="9"/>
  <c r="I199" i="9"/>
  <c r="H199" i="9"/>
  <c r="F199" i="9"/>
  <c r="I213" i="9"/>
  <c r="H213" i="9"/>
  <c r="F213" i="9"/>
  <c r="T231" i="9"/>
  <c r="Q231" i="9"/>
  <c r="S231" i="9"/>
  <c r="H161" i="9"/>
  <c r="F161" i="9"/>
  <c r="I161" i="9"/>
  <c r="H84" i="9"/>
  <c r="F84" i="9"/>
  <c r="T239" i="9"/>
  <c r="Q239" i="9"/>
  <c r="S239" i="9"/>
  <c r="S161" i="9"/>
  <c r="Q161" i="9"/>
  <c r="T161" i="9"/>
  <c r="I63" i="9"/>
  <c r="H63" i="9"/>
  <c r="F63" i="9"/>
  <c r="H85" i="9"/>
  <c r="I85" i="9"/>
  <c r="F85" i="9"/>
  <c r="S101" i="9"/>
  <c r="T101" i="9"/>
  <c r="Q101" i="9"/>
  <c r="I241" i="9"/>
  <c r="H241" i="9"/>
  <c r="F241" i="9"/>
  <c r="S273" i="9"/>
  <c r="T273" i="9"/>
  <c r="Q273" i="9"/>
  <c r="H8" i="9"/>
  <c r="F8" i="9"/>
  <c r="H116" i="9"/>
  <c r="I116" i="9"/>
  <c r="F116" i="9"/>
  <c r="Q223" i="9"/>
  <c r="T223" i="9"/>
  <c r="S223" i="9"/>
  <c r="I223" i="9"/>
  <c r="H223" i="9"/>
  <c r="F223" i="9"/>
  <c r="H100" i="9"/>
  <c r="I100" i="9"/>
  <c r="F100" i="9"/>
  <c r="I200" i="9"/>
  <c r="H200" i="9"/>
  <c r="F200" i="9"/>
  <c r="T162" i="9"/>
  <c r="Q162" i="9"/>
  <c r="S162" i="9"/>
  <c r="I242" i="9"/>
  <c r="H242" i="9"/>
  <c r="F242" i="9"/>
  <c r="I265" i="9"/>
  <c r="H265" i="9"/>
  <c r="F265" i="9"/>
  <c r="I287" i="9"/>
  <c r="H287" i="9"/>
  <c r="Q143" i="9"/>
  <c r="V140" i="9" s="1"/>
  <c r="T143" i="9"/>
  <c r="S143" i="9"/>
  <c r="S62" i="9"/>
  <c r="H34" i="9"/>
  <c r="F34" i="9"/>
  <c r="I180" i="9"/>
  <c r="H180" i="9"/>
  <c r="F180" i="9"/>
  <c r="T240" i="9"/>
  <c r="Q240" i="9"/>
  <c r="S240" i="9"/>
  <c r="I162" i="9"/>
  <c r="F162" i="9"/>
  <c r="H162" i="9"/>
  <c r="Q113" i="9"/>
  <c r="T113" i="9"/>
  <c r="S113" i="9"/>
  <c r="H222" i="9"/>
  <c r="I222" i="9"/>
  <c r="F222" i="9"/>
  <c r="I251" i="9"/>
  <c r="H251" i="9"/>
  <c r="F251" i="9"/>
  <c r="T180" i="9"/>
  <c r="S180" i="9"/>
  <c r="Q180" i="9"/>
  <c r="C246" i="9"/>
  <c r="C217" i="9"/>
  <c r="C227" i="9"/>
  <c r="N105" i="9"/>
  <c r="C151" i="9"/>
  <c r="C120" i="9"/>
  <c r="C136" i="9"/>
  <c r="C105" i="9"/>
  <c r="C89" i="9"/>
  <c r="N67" i="9"/>
  <c r="C67" i="9"/>
  <c r="C38" i="9"/>
  <c r="C53" i="9"/>
  <c r="C24" i="16" l="1"/>
  <c r="O15" i="16"/>
  <c r="R163" i="9"/>
  <c r="Q163" i="9" s="1"/>
  <c r="F10" i="9"/>
  <c r="H10" i="9"/>
  <c r="F163" i="9"/>
  <c r="H163" i="9"/>
  <c r="I163" i="9"/>
  <c r="I64" i="9"/>
  <c r="H64" i="9"/>
  <c r="F64" i="9"/>
  <c r="S224" i="9"/>
  <c r="Q224" i="9"/>
  <c r="T224" i="9"/>
  <c r="S249" i="9"/>
  <c r="T249" i="9"/>
  <c r="Q249" i="9"/>
  <c r="H214" i="9"/>
  <c r="I214" i="9"/>
  <c r="F214" i="9"/>
  <c r="Q288" i="9"/>
  <c r="S288" i="9"/>
  <c r="T288" i="9"/>
  <c r="T266" i="9"/>
  <c r="S266" i="9"/>
  <c r="Q266" i="9"/>
  <c r="H181" i="9"/>
  <c r="I181" i="9"/>
  <c r="F181" i="9"/>
  <c r="AX6" i="2"/>
  <c r="R164" i="9" s="1"/>
  <c r="R77" i="9"/>
  <c r="G51" i="9"/>
  <c r="R250" i="9"/>
  <c r="R267" i="9"/>
  <c r="R275" i="9"/>
  <c r="G276" i="9"/>
  <c r="R234" i="9"/>
  <c r="G202" i="9"/>
  <c r="G164" i="9"/>
  <c r="R137" i="9"/>
  <c r="R289" i="9"/>
  <c r="G267" i="9"/>
  <c r="R242" i="9"/>
  <c r="G79" i="9"/>
  <c r="R126" i="9"/>
  <c r="G118" i="9"/>
  <c r="G26" i="9"/>
  <c r="F25" i="9"/>
  <c r="I25" i="9"/>
  <c r="H25" i="9"/>
  <c r="H78" i="9"/>
  <c r="I78" i="9"/>
  <c r="F78" i="9"/>
  <c r="R64" i="9"/>
  <c r="G191" i="9"/>
  <c r="T233" i="9"/>
  <c r="S233" i="9"/>
  <c r="Q233" i="9"/>
  <c r="G35" i="9"/>
  <c r="R214" i="9"/>
  <c r="G224" i="9"/>
  <c r="G117" i="9"/>
  <c r="R102" i="9"/>
  <c r="G133" i="9"/>
  <c r="H50" i="9"/>
  <c r="I50" i="9"/>
  <c r="F50" i="9"/>
  <c r="G201" i="9"/>
  <c r="G148" i="9"/>
  <c r="H275" i="9"/>
  <c r="I275" i="9"/>
  <c r="F275" i="9"/>
  <c r="G86" i="9"/>
  <c r="I266" i="9"/>
  <c r="H266" i="9"/>
  <c r="F266" i="9"/>
  <c r="G243" i="9"/>
  <c r="T136" i="9"/>
  <c r="Q136" i="9"/>
  <c r="S136" i="9"/>
  <c r="G234" i="9"/>
  <c r="G102" i="9"/>
  <c r="R125" i="9"/>
  <c r="R114" i="9"/>
  <c r="G253" i="9"/>
  <c r="S274" i="9"/>
  <c r="Q274" i="9"/>
  <c r="T274" i="9"/>
  <c r="R10" i="9"/>
  <c r="R76" i="9"/>
  <c r="S241" i="9"/>
  <c r="Q241" i="9"/>
  <c r="T241" i="9"/>
  <c r="R25" i="9"/>
  <c r="G288" i="9"/>
  <c r="K161" i="9"/>
  <c r="U135" i="9"/>
  <c r="V273" i="9"/>
  <c r="K241" i="9"/>
  <c r="J63" i="9"/>
  <c r="U161" i="9"/>
  <c r="J132" i="9"/>
  <c r="K189" i="9"/>
  <c r="U287" i="9"/>
  <c r="K48" i="9"/>
  <c r="U186" i="9"/>
  <c r="U187" i="9" s="1"/>
  <c r="U248" i="9"/>
  <c r="J101" i="9"/>
  <c r="U265" i="9"/>
  <c r="J252" i="9"/>
  <c r="U123" i="9"/>
  <c r="K131" i="9"/>
  <c r="K273" i="9"/>
  <c r="J24" i="9"/>
  <c r="J286" i="9"/>
  <c r="J232" i="9"/>
  <c r="U273" i="9"/>
  <c r="K63" i="9"/>
  <c r="U231" i="9"/>
  <c r="V287" i="9"/>
  <c r="J33" i="9"/>
  <c r="V112" i="9"/>
  <c r="U9" i="9"/>
  <c r="K101" i="9"/>
  <c r="K252" i="9"/>
  <c r="J264" i="9"/>
  <c r="J273" i="9"/>
  <c r="U23" i="9"/>
  <c r="U180" i="9"/>
  <c r="J162" i="9"/>
  <c r="K62" i="9"/>
  <c r="V186" i="9"/>
  <c r="V187" i="9" s="1"/>
  <c r="V179" i="9"/>
  <c r="V124" i="9"/>
  <c r="V265" i="9"/>
  <c r="J222" i="9"/>
  <c r="K180" i="9"/>
  <c r="K287" i="9"/>
  <c r="K242" i="9"/>
  <c r="K223" i="9"/>
  <c r="K222" i="9"/>
  <c r="J34" i="9"/>
  <c r="U162" i="9"/>
  <c r="U143" i="9"/>
  <c r="U144" i="9" s="1"/>
  <c r="V123" i="9"/>
  <c r="V180" i="9"/>
  <c r="V143" i="9"/>
  <c r="V144" i="9" s="1"/>
  <c r="V231" i="9"/>
  <c r="V135" i="9"/>
  <c r="V248" i="9"/>
  <c r="K24" i="9"/>
  <c r="J9" i="9"/>
  <c r="K132" i="9"/>
  <c r="J189" i="9"/>
  <c r="J251" i="9"/>
  <c r="K251" i="9"/>
  <c r="U113" i="9"/>
  <c r="K265" i="9"/>
  <c r="J100" i="9"/>
  <c r="U223" i="9"/>
  <c r="V161" i="9"/>
  <c r="U100" i="9"/>
  <c r="J77" i="9"/>
  <c r="K146" i="9"/>
  <c r="J265" i="9"/>
  <c r="J8" i="9"/>
  <c r="J146" i="9"/>
  <c r="V113" i="9"/>
  <c r="V223" i="9"/>
  <c r="V100" i="9"/>
  <c r="K77" i="9"/>
  <c r="U8" i="9"/>
  <c r="U24" i="9"/>
  <c r="J200" i="9"/>
  <c r="K85" i="9"/>
  <c r="J199" i="9"/>
  <c r="U75" i="9"/>
  <c r="U222" i="9"/>
  <c r="U213" i="9"/>
  <c r="K76" i="9"/>
  <c r="K233" i="9"/>
  <c r="V74" i="9"/>
  <c r="K212" i="9"/>
  <c r="J190" i="9"/>
  <c r="K162" i="9"/>
  <c r="K200" i="9"/>
  <c r="J116" i="9"/>
  <c r="V101" i="9"/>
  <c r="J85" i="9"/>
  <c r="J161" i="9"/>
  <c r="J213" i="9"/>
  <c r="K199" i="9"/>
  <c r="V63" i="9"/>
  <c r="V75" i="9"/>
  <c r="J274" i="9"/>
  <c r="V222" i="9"/>
  <c r="J49" i="9"/>
  <c r="V212" i="9"/>
  <c r="K179" i="9"/>
  <c r="J48" i="9"/>
  <c r="J233" i="9"/>
  <c r="K115" i="9"/>
  <c r="V177" i="9"/>
  <c r="K147" i="9"/>
  <c r="U74" i="9"/>
  <c r="J212" i="9"/>
  <c r="K190" i="9"/>
  <c r="V232" i="9"/>
  <c r="J76" i="9"/>
  <c r="V240" i="9"/>
  <c r="J287" i="9"/>
  <c r="K116" i="9"/>
  <c r="V239" i="9"/>
  <c r="U240" i="9"/>
  <c r="J180" i="9"/>
  <c r="U62" i="9"/>
  <c r="J242" i="9"/>
  <c r="V162" i="9"/>
  <c r="K100" i="9"/>
  <c r="J223" i="9"/>
  <c r="J241" i="9"/>
  <c r="U101" i="9"/>
  <c r="U239" i="9"/>
  <c r="J84" i="9"/>
  <c r="K213" i="9"/>
  <c r="U63" i="9"/>
  <c r="K274" i="9"/>
  <c r="K49" i="9"/>
  <c r="V213" i="9"/>
  <c r="U212" i="9"/>
  <c r="J179" i="9"/>
  <c r="J62" i="9"/>
  <c r="K286" i="9"/>
  <c r="U112" i="9"/>
  <c r="J115" i="9"/>
  <c r="U179" i="9"/>
  <c r="K232" i="9"/>
  <c r="U124" i="9"/>
  <c r="J147" i="9"/>
  <c r="K264" i="9"/>
  <c r="J131" i="9"/>
  <c r="U232" i="9"/>
  <c r="C90" i="9"/>
  <c r="N106" i="9"/>
  <c r="C152" i="9"/>
  <c r="C137" i="9"/>
  <c r="C121" i="9"/>
  <c r="C106" i="9"/>
  <c r="N68" i="9"/>
  <c r="C68" i="9"/>
  <c r="C39" i="9"/>
  <c r="L22" i="8"/>
  <c r="T62" i="9" s="1"/>
  <c r="V62" i="9" s="1"/>
  <c r="I22" i="8"/>
  <c r="I84" i="9" s="1"/>
  <c r="K84" i="9" s="1"/>
  <c r="O7" i="8"/>
  <c r="C7" i="8"/>
  <c r="I10" i="9" s="1"/>
  <c r="R6" i="8"/>
  <c r="T24" i="9" s="1"/>
  <c r="V24" i="9" s="1"/>
  <c r="I6" i="8"/>
  <c r="I34" i="9" s="1"/>
  <c r="K34" i="9" s="1"/>
  <c r="O6" i="8"/>
  <c r="T9" i="9" s="1"/>
  <c r="V9" i="9" s="1"/>
  <c r="C6" i="8"/>
  <c r="I9" i="9" s="1"/>
  <c r="K9" i="9" s="1"/>
  <c r="R5" i="8"/>
  <c r="T23" i="9" s="1"/>
  <c r="V23" i="9" s="1"/>
  <c r="I5" i="8"/>
  <c r="I33" i="9" s="1"/>
  <c r="K33" i="9" s="1"/>
  <c r="O5" i="8"/>
  <c r="T8" i="9" s="1"/>
  <c r="V8" i="9" s="1"/>
  <c r="I8" i="9"/>
  <c r="K8" i="9" s="1"/>
  <c r="P15" i="16" l="1"/>
  <c r="E24" i="16"/>
  <c r="F24" i="16" s="1"/>
  <c r="D24" i="16"/>
  <c r="C23" i="16"/>
  <c r="Q15" i="16"/>
  <c r="R15" i="16" s="1"/>
  <c r="K10" i="9"/>
  <c r="R115" i="9"/>
  <c r="Q115" i="9" s="1"/>
  <c r="G182" i="9"/>
  <c r="I182" i="9" s="1"/>
  <c r="G134" i="9"/>
  <c r="H134" i="9" s="1"/>
  <c r="G87" i="9"/>
  <c r="I87" i="9" s="1"/>
  <c r="G36" i="9"/>
  <c r="F36" i="9" s="1"/>
  <c r="G289" i="9"/>
  <c r="I289" i="9" s="1"/>
  <c r="G65" i="9"/>
  <c r="H65" i="9" s="1"/>
  <c r="G192" i="9"/>
  <c r="F192" i="9" s="1"/>
  <c r="R11" i="9"/>
  <c r="S11" i="9" s="1"/>
  <c r="V274" i="9"/>
  <c r="U136" i="9"/>
  <c r="V233" i="9"/>
  <c r="J10" i="9"/>
  <c r="U266" i="9"/>
  <c r="K78" i="9"/>
  <c r="U288" i="9"/>
  <c r="J78" i="9"/>
  <c r="V266" i="9"/>
  <c r="U274" i="9"/>
  <c r="V136" i="9"/>
  <c r="V288" i="9"/>
  <c r="U241" i="9"/>
  <c r="K275" i="9"/>
  <c r="V241" i="9"/>
  <c r="J50" i="9"/>
  <c r="U233" i="9"/>
  <c r="K25" i="9"/>
  <c r="V224" i="9"/>
  <c r="J266" i="9"/>
  <c r="V249" i="9"/>
  <c r="J275" i="9"/>
  <c r="K50" i="9"/>
  <c r="J25" i="9"/>
  <c r="U249" i="9"/>
  <c r="U224" i="9"/>
  <c r="K181" i="9"/>
  <c r="J181" i="9"/>
  <c r="S163" i="9"/>
  <c r="U163" i="9" s="1"/>
  <c r="T163" i="9"/>
  <c r="V163" i="9" s="1"/>
  <c r="T10" i="9"/>
  <c r="G149" i="9"/>
  <c r="F149" i="9" s="1"/>
  <c r="G244" i="9"/>
  <c r="H244" i="9" s="1"/>
  <c r="J163" i="9"/>
  <c r="G11" i="9"/>
  <c r="F11" i="9" s="1"/>
  <c r="G103" i="9"/>
  <c r="H103" i="9" s="1"/>
  <c r="R65" i="9"/>
  <c r="Q65" i="9" s="1"/>
  <c r="G235" i="9"/>
  <c r="I235" i="9" s="1"/>
  <c r="R103" i="9"/>
  <c r="S103" i="9" s="1"/>
  <c r="G254" i="9"/>
  <c r="H254" i="9" s="1"/>
  <c r="I288" i="9"/>
  <c r="H288" i="9"/>
  <c r="F288" i="9"/>
  <c r="T125" i="9"/>
  <c r="Q125" i="9"/>
  <c r="S125" i="9"/>
  <c r="Q214" i="9"/>
  <c r="T214" i="9"/>
  <c r="S214" i="9"/>
  <c r="Q242" i="9"/>
  <c r="V237" i="9" s="1"/>
  <c r="T242" i="9"/>
  <c r="S242" i="9"/>
  <c r="Q137" i="9"/>
  <c r="V132" i="9" s="1"/>
  <c r="T137" i="9"/>
  <c r="S137" i="9"/>
  <c r="T234" i="9"/>
  <c r="Q234" i="9"/>
  <c r="V229" i="9" s="1"/>
  <c r="S234" i="9"/>
  <c r="S25" i="9"/>
  <c r="Q25" i="9"/>
  <c r="T25" i="9"/>
  <c r="T76" i="9"/>
  <c r="S76" i="9"/>
  <c r="Q76" i="9"/>
  <c r="H102" i="9"/>
  <c r="I102" i="9"/>
  <c r="F102" i="9"/>
  <c r="I234" i="9"/>
  <c r="H234" i="9"/>
  <c r="F234" i="9"/>
  <c r="I243" i="9"/>
  <c r="H243" i="9"/>
  <c r="F243" i="9"/>
  <c r="I86" i="9"/>
  <c r="H86" i="9"/>
  <c r="F86" i="9"/>
  <c r="I148" i="9"/>
  <c r="H148" i="9"/>
  <c r="F148" i="9"/>
  <c r="T102" i="9"/>
  <c r="S102" i="9"/>
  <c r="Q102" i="9"/>
  <c r="I35" i="9"/>
  <c r="H35" i="9"/>
  <c r="F35" i="9"/>
  <c r="I191" i="9"/>
  <c r="H191" i="9"/>
  <c r="F191" i="9"/>
  <c r="H118" i="9"/>
  <c r="I118" i="9"/>
  <c r="F118" i="9"/>
  <c r="I267" i="9"/>
  <c r="H267" i="9"/>
  <c r="F267" i="9"/>
  <c r="F164" i="9"/>
  <c r="I164" i="9"/>
  <c r="H164" i="9"/>
  <c r="H276" i="9"/>
  <c r="I276" i="9"/>
  <c r="F276" i="9"/>
  <c r="I51" i="9"/>
  <c r="H51" i="9"/>
  <c r="F51" i="9"/>
  <c r="S77" i="9"/>
  <c r="T77" i="9"/>
  <c r="Q77" i="9"/>
  <c r="K214" i="9"/>
  <c r="J64" i="9"/>
  <c r="S10" i="9"/>
  <c r="Q10" i="9"/>
  <c r="I253" i="9"/>
  <c r="H253" i="9"/>
  <c r="F253" i="9"/>
  <c r="K266" i="9"/>
  <c r="H201" i="9"/>
  <c r="I201" i="9"/>
  <c r="F201" i="9"/>
  <c r="H133" i="9"/>
  <c r="I133" i="9"/>
  <c r="F133" i="9"/>
  <c r="H117" i="9"/>
  <c r="I117" i="9"/>
  <c r="F117" i="9"/>
  <c r="S64" i="9"/>
  <c r="T64" i="9"/>
  <c r="Q64" i="9"/>
  <c r="S289" i="9"/>
  <c r="T289" i="9"/>
  <c r="Q289" i="9"/>
  <c r="H202" i="9"/>
  <c r="I202" i="9"/>
  <c r="F202" i="9"/>
  <c r="S275" i="9"/>
  <c r="T275" i="9"/>
  <c r="Q275" i="9"/>
  <c r="S164" i="9"/>
  <c r="Q164" i="9"/>
  <c r="T164" i="9"/>
  <c r="AX7" i="2"/>
  <c r="R104" i="9" s="1"/>
  <c r="R276" i="9"/>
  <c r="G277" i="9"/>
  <c r="R226" i="9"/>
  <c r="G255" i="9"/>
  <c r="G268" i="9"/>
  <c r="R216" i="9"/>
  <c r="R290" i="9"/>
  <c r="G193" i="9"/>
  <c r="G236" i="9"/>
  <c r="G183" i="9"/>
  <c r="R78" i="9"/>
  <c r="G245" i="9"/>
  <c r="G216" i="9"/>
  <c r="G226" i="9"/>
  <c r="R116" i="9"/>
  <c r="G52" i="9"/>
  <c r="G203" i="9"/>
  <c r="R127" i="9"/>
  <c r="G165" i="9"/>
  <c r="G27" i="9"/>
  <c r="J214" i="9"/>
  <c r="K64" i="9"/>
  <c r="T114" i="9"/>
  <c r="S114" i="9"/>
  <c r="Q114" i="9"/>
  <c r="I224" i="9"/>
  <c r="H224" i="9"/>
  <c r="F224" i="9"/>
  <c r="F26" i="9"/>
  <c r="H26" i="9"/>
  <c r="I26" i="9"/>
  <c r="S126" i="9"/>
  <c r="T126" i="9"/>
  <c r="Q126" i="9"/>
  <c r="I79" i="9"/>
  <c r="H79" i="9"/>
  <c r="F79" i="9"/>
  <c r="K74" i="9" s="1"/>
  <c r="R215" i="9"/>
  <c r="G215" i="9"/>
  <c r="R26" i="9"/>
  <c r="R225" i="9"/>
  <c r="T267" i="9"/>
  <c r="Q267" i="9"/>
  <c r="V262" i="9" s="1"/>
  <c r="S267" i="9"/>
  <c r="S250" i="9"/>
  <c r="T250" i="9"/>
  <c r="Q250" i="9"/>
  <c r="V245" i="9" s="1"/>
  <c r="G225" i="9"/>
  <c r="K163" i="9"/>
  <c r="V181" i="9"/>
  <c r="U181" i="9"/>
  <c r="C91" i="9"/>
  <c r="N107" i="9"/>
  <c r="C122" i="9"/>
  <c r="C138" i="9"/>
  <c r="C107" i="9"/>
  <c r="N69" i="9"/>
  <c r="C69" i="9"/>
  <c r="C40" i="9"/>
  <c r="I65" i="9" l="1"/>
  <c r="D23" i="16"/>
  <c r="O22" i="16"/>
  <c r="E23" i="16"/>
  <c r="F23" i="16" s="1"/>
  <c r="I28" i="16"/>
  <c r="I7" i="16"/>
  <c r="I27" i="16"/>
  <c r="O14" i="16"/>
  <c r="I29" i="16"/>
  <c r="I192" i="9"/>
  <c r="K192" i="9" s="1"/>
  <c r="H149" i="9"/>
  <c r="J149" i="9" s="1"/>
  <c r="H36" i="9"/>
  <c r="J36" i="9" s="1"/>
  <c r="S115" i="9"/>
  <c r="U115" i="9" s="1"/>
  <c r="T115" i="9"/>
  <c r="V115" i="9" s="1"/>
  <c r="I36" i="9"/>
  <c r="K36" i="9" s="1"/>
  <c r="H289" i="9"/>
  <c r="F182" i="9"/>
  <c r="K182" i="9" s="1"/>
  <c r="H182" i="9"/>
  <c r="F289" i="9"/>
  <c r="K289" i="9" s="1"/>
  <c r="Q11" i="9"/>
  <c r="U11" i="9" s="1"/>
  <c r="T11" i="9"/>
  <c r="F134" i="9"/>
  <c r="J134" i="9" s="1"/>
  <c r="I134" i="9"/>
  <c r="F65" i="9"/>
  <c r="F87" i="9"/>
  <c r="K87" i="9" s="1"/>
  <c r="H192" i="9"/>
  <c r="J192" i="9" s="1"/>
  <c r="H87" i="9"/>
  <c r="U234" i="9"/>
  <c r="U235" i="9" s="1"/>
  <c r="V137" i="9"/>
  <c r="V138" i="9" s="1"/>
  <c r="K276" i="9"/>
  <c r="J276" i="9"/>
  <c r="J26" i="9"/>
  <c r="U250" i="9"/>
  <c r="U251" i="9" s="1"/>
  <c r="U137" i="9"/>
  <c r="U138" i="9" s="1"/>
  <c r="V242" i="9"/>
  <c r="V243" i="9" s="1"/>
  <c r="V275" i="9"/>
  <c r="V250" i="9"/>
  <c r="V251" i="9" s="1"/>
  <c r="U275" i="9"/>
  <c r="U242" i="9"/>
  <c r="U243" i="9" s="1"/>
  <c r="H11" i="9"/>
  <c r="J11" i="9" s="1"/>
  <c r="V267" i="9"/>
  <c r="V268" i="9" s="1"/>
  <c r="V126" i="9"/>
  <c r="U267" i="9"/>
  <c r="U268" i="9" s="1"/>
  <c r="U126" i="9"/>
  <c r="V289" i="9"/>
  <c r="V64" i="9"/>
  <c r="U10" i="9"/>
  <c r="V77" i="9"/>
  <c r="V234" i="9"/>
  <c r="V235" i="9" s="1"/>
  <c r="V125" i="9"/>
  <c r="K26" i="9"/>
  <c r="U289" i="9"/>
  <c r="U77" i="9"/>
  <c r="H235" i="9"/>
  <c r="K164" i="9"/>
  <c r="K191" i="9"/>
  <c r="K86" i="9"/>
  <c r="V76" i="9"/>
  <c r="I11" i="9"/>
  <c r="K11" i="9" s="1"/>
  <c r="J267" i="9"/>
  <c r="J79" i="9"/>
  <c r="J80" i="9" s="1"/>
  <c r="K79" i="9"/>
  <c r="K80" i="9" s="1"/>
  <c r="V10" i="9"/>
  <c r="J51" i="9"/>
  <c r="T103" i="9"/>
  <c r="J117" i="9"/>
  <c r="K51" i="9"/>
  <c r="J164" i="9"/>
  <c r="S65" i="9"/>
  <c r="U65" i="9" s="1"/>
  <c r="Q103" i="9"/>
  <c r="U103" i="9" s="1"/>
  <c r="V164" i="9"/>
  <c r="F235" i="9"/>
  <c r="K235" i="9" s="1"/>
  <c r="V25" i="9"/>
  <c r="I254" i="9"/>
  <c r="U64" i="9"/>
  <c r="F254" i="9"/>
  <c r="J254" i="9" s="1"/>
  <c r="F103" i="9"/>
  <c r="J103" i="9" s="1"/>
  <c r="V214" i="9"/>
  <c r="K118" i="9"/>
  <c r="J148" i="9"/>
  <c r="V114" i="9"/>
  <c r="G119" i="9"/>
  <c r="I119" i="9" s="1"/>
  <c r="I149" i="9"/>
  <c r="K149" i="9" s="1"/>
  <c r="T65" i="9"/>
  <c r="V65" i="9" s="1"/>
  <c r="I103" i="9"/>
  <c r="I244" i="9"/>
  <c r="K102" i="9"/>
  <c r="F244" i="9"/>
  <c r="J244" i="9" s="1"/>
  <c r="U114" i="9"/>
  <c r="J118" i="9"/>
  <c r="K148" i="9"/>
  <c r="J102" i="9"/>
  <c r="U125" i="9"/>
  <c r="I225" i="9"/>
  <c r="H225" i="9"/>
  <c r="F225" i="9"/>
  <c r="S26" i="9"/>
  <c r="T26" i="9"/>
  <c r="Q26" i="9"/>
  <c r="H165" i="9"/>
  <c r="F165" i="9"/>
  <c r="K159" i="9" s="1"/>
  <c r="I165" i="9"/>
  <c r="I226" i="9"/>
  <c r="H226" i="9"/>
  <c r="F226" i="9"/>
  <c r="H183" i="9"/>
  <c r="I183" i="9"/>
  <c r="F183" i="9"/>
  <c r="T104" i="9"/>
  <c r="S104" i="9"/>
  <c r="Q104" i="9"/>
  <c r="H193" i="9"/>
  <c r="I193" i="9"/>
  <c r="F193" i="9"/>
  <c r="H268" i="9"/>
  <c r="I268" i="9"/>
  <c r="F268" i="9"/>
  <c r="I255" i="9"/>
  <c r="H255" i="9"/>
  <c r="F255" i="9"/>
  <c r="AX8" i="2"/>
  <c r="G89" i="9" s="1"/>
  <c r="G194" i="9"/>
  <c r="R217" i="9"/>
  <c r="G217" i="9"/>
  <c r="G38" i="9"/>
  <c r="R105" i="9"/>
  <c r="R117" i="9"/>
  <c r="G53" i="9"/>
  <c r="R128" i="9"/>
  <c r="G184" i="9"/>
  <c r="R291" i="9"/>
  <c r="G246" i="9"/>
  <c r="G227" i="9"/>
  <c r="G151" i="9"/>
  <c r="G291" i="9"/>
  <c r="R67" i="9"/>
  <c r="G28" i="9"/>
  <c r="I215" i="9"/>
  <c r="H215" i="9"/>
  <c r="F215" i="9"/>
  <c r="J224" i="9"/>
  <c r="Q127" i="9"/>
  <c r="S127" i="9"/>
  <c r="T127" i="9"/>
  <c r="S116" i="9"/>
  <c r="Q116" i="9"/>
  <c r="T116" i="9"/>
  <c r="H216" i="9"/>
  <c r="I216" i="9"/>
  <c r="F216" i="9"/>
  <c r="G290" i="9"/>
  <c r="G37" i="9"/>
  <c r="T290" i="9"/>
  <c r="Q290" i="9"/>
  <c r="S290" i="9"/>
  <c r="G66" i="9"/>
  <c r="S226" i="9"/>
  <c r="T226" i="9"/>
  <c r="Q226" i="9"/>
  <c r="K201" i="9"/>
  <c r="J253" i="9"/>
  <c r="U102" i="9"/>
  <c r="J234" i="9"/>
  <c r="Q215" i="9"/>
  <c r="S215" i="9"/>
  <c r="T215" i="9"/>
  <c r="K224" i="9"/>
  <c r="I27" i="9"/>
  <c r="H27" i="9"/>
  <c r="F27" i="9"/>
  <c r="I203" i="9"/>
  <c r="H203" i="9"/>
  <c r="F203" i="9"/>
  <c r="K197" i="9" s="1"/>
  <c r="G135" i="9"/>
  <c r="H245" i="9"/>
  <c r="I245" i="9"/>
  <c r="F245" i="9"/>
  <c r="G104" i="9"/>
  <c r="R12" i="9"/>
  <c r="G150" i="9"/>
  <c r="R66" i="9"/>
  <c r="H277" i="9"/>
  <c r="I277" i="9"/>
  <c r="F277" i="9"/>
  <c r="K271" i="9" s="1"/>
  <c r="K202" i="9"/>
  <c r="K133" i="9"/>
  <c r="J201" i="9"/>
  <c r="K253" i="9"/>
  <c r="K267" i="9"/>
  <c r="J35" i="9"/>
  <c r="V102" i="9"/>
  <c r="J243" i="9"/>
  <c r="K234" i="9"/>
  <c r="J288" i="9"/>
  <c r="S225" i="9"/>
  <c r="T225" i="9"/>
  <c r="Q225" i="9"/>
  <c r="G12" i="9"/>
  <c r="H52" i="9"/>
  <c r="I52" i="9"/>
  <c r="F52" i="9"/>
  <c r="R27" i="9"/>
  <c r="T78" i="9"/>
  <c r="S78" i="9"/>
  <c r="Q78" i="9"/>
  <c r="V72" i="9" s="1"/>
  <c r="R165" i="9"/>
  <c r="I236" i="9"/>
  <c r="H236" i="9"/>
  <c r="F236" i="9"/>
  <c r="Q216" i="9"/>
  <c r="S216" i="9"/>
  <c r="T216" i="9"/>
  <c r="G88" i="9"/>
  <c r="Q276" i="9"/>
  <c r="V270" i="9" s="1"/>
  <c r="S276" i="9"/>
  <c r="T276" i="9"/>
  <c r="U164" i="9"/>
  <c r="J202" i="9"/>
  <c r="K117" i="9"/>
  <c r="J133" i="9"/>
  <c r="J191" i="9"/>
  <c r="K35" i="9"/>
  <c r="J86" i="9"/>
  <c r="K243" i="9"/>
  <c r="U76" i="9"/>
  <c r="U25" i="9"/>
  <c r="U214" i="9"/>
  <c r="K288" i="9"/>
  <c r="C109" i="9"/>
  <c r="C139" i="9"/>
  <c r="C123" i="9"/>
  <c r="C70" i="9"/>
  <c r="C41" i="9"/>
  <c r="K65" i="9" l="1"/>
  <c r="K29" i="16"/>
  <c r="L29" i="16" s="1"/>
  <c r="Q14" i="16"/>
  <c r="R14" i="16" s="1"/>
  <c r="J27" i="16"/>
  <c r="I11" i="16"/>
  <c r="C22" i="16"/>
  <c r="P22" i="16"/>
  <c r="J28" i="16"/>
  <c r="K28" i="16"/>
  <c r="L28" i="16" s="1"/>
  <c r="J7" i="16"/>
  <c r="K27" i="16"/>
  <c r="L27" i="16" s="1"/>
  <c r="Q22" i="16"/>
  <c r="R22" i="16" s="1"/>
  <c r="J29" i="16"/>
  <c r="O23" i="16"/>
  <c r="O21" i="16"/>
  <c r="U7" i="16"/>
  <c r="K7" i="16"/>
  <c r="L7" i="16" s="1"/>
  <c r="P14" i="16"/>
  <c r="J182" i="9"/>
  <c r="J289" i="9"/>
  <c r="J65" i="9"/>
  <c r="K134" i="9"/>
  <c r="R28" i="9"/>
  <c r="S28" i="9" s="1"/>
  <c r="G13" i="9"/>
  <c r="F13" i="9" s="1"/>
  <c r="F119" i="9"/>
  <c r="K119" i="9" s="1"/>
  <c r="V11" i="9"/>
  <c r="J87" i="9"/>
  <c r="G67" i="9"/>
  <c r="H67" i="9" s="1"/>
  <c r="K165" i="9"/>
  <c r="K166" i="9" s="1"/>
  <c r="J235" i="9"/>
  <c r="V276" i="9"/>
  <c r="U276" i="9"/>
  <c r="V78" i="9"/>
  <c r="V79" i="9" s="1"/>
  <c r="U78" i="9"/>
  <c r="U79" i="9" s="1"/>
  <c r="J277" i="9"/>
  <c r="J278" i="9" s="1"/>
  <c r="K254" i="9"/>
  <c r="U216" i="9"/>
  <c r="K236" i="9"/>
  <c r="K237" i="9" s="1"/>
  <c r="J52" i="9"/>
  <c r="K277" i="9"/>
  <c r="K278" i="9" s="1"/>
  <c r="U290" i="9"/>
  <c r="J268" i="9"/>
  <c r="J269" i="9" s="1"/>
  <c r="J165" i="9"/>
  <c r="J166" i="9" s="1"/>
  <c r="V216" i="9"/>
  <c r="J236" i="9"/>
  <c r="K52" i="9"/>
  <c r="K27" i="9"/>
  <c r="J27" i="9"/>
  <c r="V290" i="9"/>
  <c r="V116" i="9"/>
  <c r="U127" i="9"/>
  <c r="K226" i="9"/>
  <c r="K244" i="9"/>
  <c r="J216" i="9"/>
  <c r="V127" i="9"/>
  <c r="J193" i="9"/>
  <c r="J226" i="9"/>
  <c r="V103" i="9"/>
  <c r="K183" i="9"/>
  <c r="J245" i="9"/>
  <c r="K203" i="9"/>
  <c r="K204" i="9" s="1"/>
  <c r="U226" i="9"/>
  <c r="K216" i="9"/>
  <c r="U116" i="9"/>
  <c r="K193" i="9"/>
  <c r="J255" i="9"/>
  <c r="J256" i="9" s="1"/>
  <c r="K245" i="9"/>
  <c r="J203" i="9"/>
  <c r="J204" i="9" s="1"/>
  <c r="V226" i="9"/>
  <c r="K255" i="9"/>
  <c r="J183" i="9"/>
  <c r="K230" i="9"/>
  <c r="V26" i="9"/>
  <c r="U26" i="9"/>
  <c r="K249" i="9"/>
  <c r="K103" i="9"/>
  <c r="V215" i="9"/>
  <c r="U215" i="9"/>
  <c r="K225" i="9"/>
  <c r="U104" i="9"/>
  <c r="U225" i="9"/>
  <c r="K215" i="9"/>
  <c r="H119" i="9"/>
  <c r="V225" i="9"/>
  <c r="J215" i="9"/>
  <c r="V104" i="9"/>
  <c r="I104" i="9"/>
  <c r="H104" i="9"/>
  <c r="F104" i="9"/>
  <c r="H135" i="9"/>
  <c r="I135" i="9"/>
  <c r="F135" i="9"/>
  <c r="H290" i="9"/>
  <c r="I290" i="9"/>
  <c r="F290" i="9"/>
  <c r="S67" i="9"/>
  <c r="T67" i="9"/>
  <c r="Q67" i="9"/>
  <c r="I246" i="9"/>
  <c r="H246" i="9"/>
  <c r="F246" i="9"/>
  <c r="K239" i="9" s="1"/>
  <c r="S128" i="9"/>
  <c r="Q128" i="9"/>
  <c r="T128" i="9"/>
  <c r="T105" i="9"/>
  <c r="S105" i="9"/>
  <c r="Q105" i="9"/>
  <c r="I194" i="9"/>
  <c r="H194" i="9"/>
  <c r="F194" i="9"/>
  <c r="K187" i="9" s="1"/>
  <c r="Q165" i="9"/>
  <c r="S165" i="9"/>
  <c r="T165" i="9"/>
  <c r="Q27" i="9"/>
  <c r="S27" i="9"/>
  <c r="T27" i="9"/>
  <c r="H12" i="9"/>
  <c r="F12" i="9"/>
  <c r="I12" i="9"/>
  <c r="T66" i="9"/>
  <c r="S66" i="9"/>
  <c r="Q66" i="9"/>
  <c r="H28" i="9"/>
  <c r="I28" i="9"/>
  <c r="F28" i="9"/>
  <c r="K21" i="9" s="1"/>
  <c r="I89" i="9"/>
  <c r="H89" i="9"/>
  <c r="F89" i="9"/>
  <c r="T291" i="9"/>
  <c r="Q291" i="9"/>
  <c r="S291" i="9"/>
  <c r="I53" i="9"/>
  <c r="H53" i="9"/>
  <c r="F53" i="9"/>
  <c r="K46" i="9" s="1"/>
  <c r="H38" i="9"/>
  <c r="I38" i="9"/>
  <c r="F38" i="9"/>
  <c r="AX9" i="2"/>
  <c r="G106" i="9" s="1"/>
  <c r="G292" i="9"/>
  <c r="G152" i="9"/>
  <c r="R68" i="9"/>
  <c r="G121" i="9"/>
  <c r="G90" i="9"/>
  <c r="R292" i="9"/>
  <c r="R129" i="9"/>
  <c r="R106" i="9"/>
  <c r="R118" i="9"/>
  <c r="K268" i="9"/>
  <c r="K269" i="9" s="1"/>
  <c r="K262" i="9"/>
  <c r="H88" i="9"/>
  <c r="I88" i="9"/>
  <c r="F88" i="9"/>
  <c r="I150" i="9"/>
  <c r="H150" i="9"/>
  <c r="F150" i="9"/>
  <c r="G105" i="9"/>
  <c r="R13" i="9"/>
  <c r="I151" i="9"/>
  <c r="H151" i="9"/>
  <c r="F151" i="9"/>
  <c r="I184" i="9"/>
  <c r="H184" i="9"/>
  <c r="F184" i="9"/>
  <c r="K177" i="9" s="1"/>
  <c r="G120" i="9"/>
  <c r="H217" i="9"/>
  <c r="I217" i="9"/>
  <c r="F217" i="9"/>
  <c r="K210" i="9" s="1"/>
  <c r="V220" i="9"/>
  <c r="Q12" i="9"/>
  <c r="S12" i="9"/>
  <c r="T12" i="9"/>
  <c r="H66" i="9"/>
  <c r="I66" i="9"/>
  <c r="F66" i="9"/>
  <c r="I37" i="9"/>
  <c r="H37" i="9"/>
  <c r="F37" i="9"/>
  <c r="R166" i="9"/>
  <c r="H291" i="9"/>
  <c r="I291" i="9"/>
  <c r="F291" i="9"/>
  <c r="H227" i="9"/>
  <c r="I227" i="9"/>
  <c r="F227" i="9"/>
  <c r="K220" i="9" s="1"/>
  <c r="G136" i="9"/>
  <c r="S117" i="9"/>
  <c r="Q117" i="9"/>
  <c r="T117" i="9"/>
  <c r="Q217" i="9"/>
  <c r="V210" i="9" s="1"/>
  <c r="S217" i="9"/>
  <c r="T217" i="9"/>
  <c r="J225" i="9"/>
  <c r="C124" i="9"/>
  <c r="C140" i="9"/>
  <c r="C110" i="9"/>
  <c r="C71" i="9"/>
  <c r="C42" i="9"/>
  <c r="H13" i="9" l="1"/>
  <c r="J13" i="9" s="1"/>
  <c r="I24" i="16"/>
  <c r="V7" i="16"/>
  <c r="P21" i="16"/>
  <c r="Q23" i="16"/>
  <c r="R23" i="16" s="1"/>
  <c r="I25" i="16"/>
  <c r="O20" i="16"/>
  <c r="O24" i="16" s="1"/>
  <c r="C9" i="16"/>
  <c r="I23" i="16"/>
  <c r="J24" i="16"/>
  <c r="P20" i="16"/>
  <c r="K22" i="16"/>
  <c r="L22" i="16" s="1"/>
  <c r="J11" i="16"/>
  <c r="C12" i="16"/>
  <c r="C21" i="16"/>
  <c r="I21" i="16"/>
  <c r="I26" i="16"/>
  <c r="Q20" i="16"/>
  <c r="R20" i="16" s="1"/>
  <c r="E22" i="16"/>
  <c r="F22" i="16" s="1"/>
  <c r="K11" i="16"/>
  <c r="L11" i="16" s="1"/>
  <c r="W7" i="16"/>
  <c r="X7" i="16" s="1"/>
  <c r="I20" i="16"/>
  <c r="C20" i="16"/>
  <c r="I22" i="16"/>
  <c r="D22" i="16"/>
  <c r="Q21" i="16"/>
  <c r="R21" i="16" s="1"/>
  <c r="I13" i="9"/>
  <c r="K13" i="9" s="1"/>
  <c r="Q28" i="9"/>
  <c r="U28" i="9" s="1"/>
  <c r="T28" i="9"/>
  <c r="F67" i="9"/>
  <c r="J67" i="9" s="1"/>
  <c r="J119" i="9"/>
  <c r="I67" i="9"/>
  <c r="R29" i="9"/>
  <c r="T29" i="9" s="1"/>
  <c r="U277" i="9"/>
  <c r="P23" i="16" s="1"/>
  <c r="R14" i="9"/>
  <c r="T14" i="9" s="1"/>
  <c r="G39" i="9"/>
  <c r="F39" i="9" s="1"/>
  <c r="G137" i="9"/>
  <c r="F137" i="9" s="1"/>
  <c r="G14" i="9"/>
  <c r="F14" i="9" s="1"/>
  <c r="G68" i="9"/>
  <c r="I68" i="9" s="1"/>
  <c r="R167" i="9"/>
  <c r="S167" i="9" s="1"/>
  <c r="K184" i="9"/>
  <c r="K185" i="9" s="1"/>
  <c r="K256" i="9"/>
  <c r="V277" i="9"/>
  <c r="V227" i="9"/>
  <c r="J184" i="9"/>
  <c r="J185" i="9" s="1"/>
  <c r="K194" i="9"/>
  <c r="K195" i="9" s="1"/>
  <c r="J237" i="9"/>
  <c r="J194" i="9"/>
  <c r="J195" i="9" s="1"/>
  <c r="U217" i="9"/>
  <c r="U218" i="9" s="1"/>
  <c r="J227" i="9"/>
  <c r="J228" i="9" s="1"/>
  <c r="V291" i="9"/>
  <c r="K28" i="9"/>
  <c r="K29" i="9" s="1"/>
  <c r="K217" i="9"/>
  <c r="K218" i="9" s="1"/>
  <c r="K53" i="9"/>
  <c r="K54" i="9" s="1"/>
  <c r="J28" i="9"/>
  <c r="J29" i="9" s="1"/>
  <c r="J246" i="9"/>
  <c r="J247" i="9" s="1"/>
  <c r="J53" i="9"/>
  <c r="J54" i="9" s="1"/>
  <c r="V217" i="9"/>
  <c r="V218" i="9" s="1"/>
  <c r="K227" i="9"/>
  <c r="K228" i="9" s="1"/>
  <c r="J217" i="9"/>
  <c r="J218" i="9" s="1"/>
  <c r="U291" i="9"/>
  <c r="K246" i="9"/>
  <c r="K247" i="9" s="1"/>
  <c r="U128" i="9"/>
  <c r="J291" i="9"/>
  <c r="K151" i="9"/>
  <c r="J89" i="9"/>
  <c r="U165" i="9"/>
  <c r="V128" i="9"/>
  <c r="U105" i="9"/>
  <c r="V67" i="9"/>
  <c r="V117" i="9"/>
  <c r="K291" i="9"/>
  <c r="J151" i="9"/>
  <c r="V105" i="9"/>
  <c r="U67" i="9"/>
  <c r="U227" i="9"/>
  <c r="K88" i="9"/>
  <c r="U117" i="9"/>
  <c r="J88" i="9"/>
  <c r="K12" i="9"/>
  <c r="K104" i="9"/>
  <c r="V27" i="9"/>
  <c r="U27" i="9"/>
  <c r="U12" i="9"/>
  <c r="K150" i="9"/>
  <c r="K135" i="9"/>
  <c r="V12" i="9"/>
  <c r="J135" i="9"/>
  <c r="H136" i="9"/>
  <c r="I136" i="9"/>
  <c r="F136" i="9"/>
  <c r="T118" i="9"/>
  <c r="Q118" i="9"/>
  <c r="V110" i="9" s="1"/>
  <c r="S118" i="9"/>
  <c r="S68" i="9"/>
  <c r="T68" i="9"/>
  <c r="Q68" i="9"/>
  <c r="K66" i="9"/>
  <c r="S106" i="9"/>
  <c r="T106" i="9"/>
  <c r="Q106" i="9"/>
  <c r="Q292" i="9"/>
  <c r="S292" i="9"/>
  <c r="T292" i="9"/>
  <c r="H152" i="9"/>
  <c r="I152" i="9"/>
  <c r="F152" i="9"/>
  <c r="K144" i="9" s="1"/>
  <c r="K38" i="9"/>
  <c r="U66" i="9"/>
  <c r="J37" i="9"/>
  <c r="J66" i="9"/>
  <c r="S13" i="9"/>
  <c r="Q13" i="9"/>
  <c r="T13" i="9"/>
  <c r="I106" i="9"/>
  <c r="H106" i="9"/>
  <c r="F106" i="9"/>
  <c r="H292" i="9"/>
  <c r="I292" i="9"/>
  <c r="F292" i="9"/>
  <c r="J38" i="9"/>
  <c r="V66" i="9"/>
  <c r="J290" i="9"/>
  <c r="S166" i="9"/>
  <c r="T166" i="9"/>
  <c r="Q166" i="9"/>
  <c r="K37" i="9"/>
  <c r="H120" i="9"/>
  <c r="I120" i="9"/>
  <c r="F120" i="9"/>
  <c r="H105" i="9"/>
  <c r="I105" i="9"/>
  <c r="F105" i="9"/>
  <c r="J150" i="9"/>
  <c r="T129" i="9"/>
  <c r="Q129" i="9"/>
  <c r="V121" i="9" s="1"/>
  <c r="S129" i="9"/>
  <c r="I90" i="9"/>
  <c r="H90" i="9"/>
  <c r="F90" i="9"/>
  <c r="H121" i="9"/>
  <c r="I121" i="9"/>
  <c r="F121" i="9"/>
  <c r="AX10" i="2"/>
  <c r="R30" i="9" s="1"/>
  <c r="G91" i="9"/>
  <c r="R293" i="9"/>
  <c r="G293" i="9"/>
  <c r="R69" i="9"/>
  <c r="R107" i="9"/>
  <c r="G107" i="9"/>
  <c r="K89" i="9"/>
  <c r="J12" i="9"/>
  <c r="V165" i="9"/>
  <c r="K290" i="9"/>
  <c r="J104" i="9"/>
  <c r="C125" i="9"/>
  <c r="C141" i="9"/>
  <c r="C43" i="9"/>
  <c r="C25" i="16" l="1"/>
  <c r="V28" i="9"/>
  <c r="P24" i="16"/>
  <c r="J26" i="16"/>
  <c r="D12" i="16"/>
  <c r="K20" i="16"/>
  <c r="L20" i="16" s="1"/>
  <c r="J25" i="16"/>
  <c r="D20" i="16"/>
  <c r="K24" i="16"/>
  <c r="L24" i="16" s="1"/>
  <c r="Q24" i="16"/>
  <c r="R24" i="16" s="1"/>
  <c r="J20" i="16"/>
  <c r="D21" i="16"/>
  <c r="K21" i="16"/>
  <c r="L21" i="16" s="1"/>
  <c r="D9" i="16"/>
  <c r="J22" i="16"/>
  <c r="K26" i="16"/>
  <c r="L26" i="16" s="1"/>
  <c r="O13" i="16"/>
  <c r="I30" i="16"/>
  <c r="O10" i="16"/>
  <c r="E20" i="16"/>
  <c r="F20" i="16" s="1"/>
  <c r="J23" i="16"/>
  <c r="E9" i="16"/>
  <c r="F9" i="16" s="1"/>
  <c r="O12" i="16"/>
  <c r="K25" i="16"/>
  <c r="L25" i="16" s="1"/>
  <c r="K23" i="16"/>
  <c r="L23" i="16" s="1"/>
  <c r="E12" i="16"/>
  <c r="F12" i="16" s="1"/>
  <c r="J21" i="16"/>
  <c r="E21" i="16"/>
  <c r="F21" i="16" s="1"/>
  <c r="F68" i="9"/>
  <c r="K68" i="9" s="1"/>
  <c r="H68" i="9"/>
  <c r="Q29" i="9"/>
  <c r="K67" i="9"/>
  <c r="S29" i="9"/>
  <c r="T167" i="9"/>
  <c r="H39" i="9"/>
  <c r="J39" i="9" s="1"/>
  <c r="Q167" i="9"/>
  <c r="U167" i="9" s="1"/>
  <c r="I137" i="9"/>
  <c r="K137" i="9" s="1"/>
  <c r="Q14" i="9"/>
  <c r="V14" i="9" s="1"/>
  <c r="H137" i="9"/>
  <c r="J137" i="9" s="1"/>
  <c r="S14" i="9"/>
  <c r="I39" i="9"/>
  <c r="K39" i="9" s="1"/>
  <c r="H14" i="9"/>
  <c r="J14" i="9" s="1"/>
  <c r="I14" i="9"/>
  <c r="K14" i="9" s="1"/>
  <c r="R168" i="9"/>
  <c r="Q168" i="9" s="1"/>
  <c r="V118" i="9"/>
  <c r="V119" i="9" s="1"/>
  <c r="U129" i="9"/>
  <c r="U130" i="9" s="1"/>
  <c r="U292" i="9"/>
  <c r="K152" i="9"/>
  <c r="K153" i="9" s="1"/>
  <c r="J152" i="9"/>
  <c r="J153" i="9" s="1"/>
  <c r="V292" i="9"/>
  <c r="U118" i="9"/>
  <c r="U119" i="9" s="1"/>
  <c r="V68" i="9"/>
  <c r="K90" i="9"/>
  <c r="J292" i="9"/>
  <c r="V106" i="9"/>
  <c r="J90" i="9"/>
  <c r="V129" i="9"/>
  <c r="V130" i="9" s="1"/>
  <c r="K292" i="9"/>
  <c r="U106" i="9"/>
  <c r="U68" i="9"/>
  <c r="J106" i="9"/>
  <c r="K106" i="9"/>
  <c r="G15" i="9"/>
  <c r="I15" i="9" s="1"/>
  <c r="J121" i="9"/>
  <c r="V13" i="9"/>
  <c r="J136" i="9"/>
  <c r="G138" i="9"/>
  <c r="H138" i="9" s="1"/>
  <c r="G40" i="9"/>
  <c r="H40" i="9" s="1"/>
  <c r="K121" i="9"/>
  <c r="S69" i="9"/>
  <c r="T69" i="9"/>
  <c r="Q69" i="9"/>
  <c r="V60" i="9" s="1"/>
  <c r="T107" i="9"/>
  <c r="S107" i="9"/>
  <c r="Q107" i="9"/>
  <c r="V98" i="9" s="1"/>
  <c r="I91" i="9"/>
  <c r="H91" i="9"/>
  <c r="F91" i="9"/>
  <c r="K82" i="9" s="1"/>
  <c r="V166" i="9"/>
  <c r="U13" i="9"/>
  <c r="S30" i="9"/>
  <c r="Q30" i="9"/>
  <c r="T30" i="9"/>
  <c r="H293" i="9"/>
  <c r="I293" i="9"/>
  <c r="F293" i="9"/>
  <c r="K120" i="9"/>
  <c r="I107" i="9"/>
  <c r="H107" i="9"/>
  <c r="F107" i="9"/>
  <c r="Q293" i="9"/>
  <c r="S293" i="9"/>
  <c r="T293" i="9"/>
  <c r="AX11" i="2"/>
  <c r="G139" i="9"/>
  <c r="R294" i="9"/>
  <c r="R169" i="9"/>
  <c r="G123" i="9"/>
  <c r="G108" i="9"/>
  <c r="G294" i="9"/>
  <c r="K105" i="9"/>
  <c r="J120" i="9"/>
  <c r="G122" i="9"/>
  <c r="R15" i="9"/>
  <c r="G69" i="9"/>
  <c r="J105" i="9"/>
  <c r="U166" i="9"/>
  <c r="K136" i="9"/>
  <c r="C126" i="9"/>
  <c r="U29" i="9" l="1"/>
  <c r="J30" i="16"/>
  <c r="Q13" i="16"/>
  <c r="R13" i="16" s="1"/>
  <c r="P10" i="16"/>
  <c r="Q12" i="16"/>
  <c r="R12" i="16" s="1"/>
  <c r="O11" i="16"/>
  <c r="P12" i="16"/>
  <c r="J68" i="9"/>
  <c r="D25" i="16"/>
  <c r="K30" i="16"/>
  <c r="L30" i="16" s="1"/>
  <c r="I10" i="16"/>
  <c r="V29" i="9"/>
  <c r="Q10" i="16"/>
  <c r="R10" i="16" s="1"/>
  <c r="I9" i="16"/>
  <c r="P13" i="16"/>
  <c r="E25" i="16"/>
  <c r="F25" i="16" s="1"/>
  <c r="I40" i="9"/>
  <c r="V167" i="9"/>
  <c r="U14" i="9"/>
  <c r="S168" i="9"/>
  <c r="U168" i="9" s="1"/>
  <c r="T168" i="9"/>
  <c r="V168" i="9" s="1"/>
  <c r="G41" i="9"/>
  <c r="I41" i="9" s="1"/>
  <c r="AX12" i="2"/>
  <c r="AX13" i="2" s="1"/>
  <c r="AX14" i="2" s="1"/>
  <c r="AX15" i="2" s="1"/>
  <c r="AX16" i="2" s="1"/>
  <c r="AX17" i="2" s="1"/>
  <c r="AX18" i="2" s="1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U69" i="9"/>
  <c r="U70" i="9" s="1"/>
  <c r="U293" i="9"/>
  <c r="V69" i="9"/>
  <c r="V70" i="9" s="1"/>
  <c r="U107" i="9"/>
  <c r="U108" i="9" s="1"/>
  <c r="K107" i="9"/>
  <c r="J91" i="9"/>
  <c r="J92" i="9" s="1"/>
  <c r="V107" i="9"/>
  <c r="V108" i="9" s="1"/>
  <c r="K91" i="9"/>
  <c r="K92" i="9" s="1"/>
  <c r="J107" i="9"/>
  <c r="V293" i="9"/>
  <c r="F40" i="9"/>
  <c r="K293" i="9"/>
  <c r="F138" i="9"/>
  <c r="J138" i="9" s="1"/>
  <c r="H15" i="9"/>
  <c r="V30" i="9"/>
  <c r="F15" i="9"/>
  <c r="K15" i="9" s="1"/>
  <c r="G16" i="9"/>
  <c r="F16" i="9" s="1"/>
  <c r="G70" i="9"/>
  <c r="I70" i="9" s="1"/>
  <c r="I138" i="9"/>
  <c r="R16" i="9"/>
  <c r="Q16" i="9" s="1"/>
  <c r="R31" i="9"/>
  <c r="T31" i="9" s="1"/>
  <c r="U30" i="9"/>
  <c r="Q15" i="9"/>
  <c r="T15" i="9"/>
  <c r="S15" i="9"/>
  <c r="I294" i="9"/>
  <c r="H294" i="9"/>
  <c r="F294" i="9"/>
  <c r="S294" i="9"/>
  <c r="Q294" i="9"/>
  <c r="T294" i="9"/>
  <c r="J293" i="9"/>
  <c r="H123" i="9"/>
  <c r="I123" i="9"/>
  <c r="F123" i="9"/>
  <c r="I69" i="9"/>
  <c r="H69" i="9"/>
  <c r="F69" i="9"/>
  <c r="S169" i="9"/>
  <c r="Q169" i="9"/>
  <c r="T169" i="9"/>
  <c r="I122" i="9"/>
  <c r="H122" i="9"/>
  <c r="F122" i="9"/>
  <c r="H108" i="9"/>
  <c r="F108" i="9"/>
  <c r="I108" i="9"/>
  <c r="H139" i="9"/>
  <c r="I139" i="9"/>
  <c r="F139" i="9"/>
  <c r="R17" i="9"/>
  <c r="G109" i="9"/>
  <c r="R295" i="9"/>
  <c r="G295" i="9"/>
  <c r="G124" i="9"/>
  <c r="G140" i="9"/>
  <c r="R170" i="9"/>
  <c r="G71" i="9"/>
  <c r="U1" i="9" l="1"/>
  <c r="J9" i="16"/>
  <c r="J10" i="16"/>
  <c r="K9" i="16"/>
  <c r="L9" i="16" s="1"/>
  <c r="P11" i="16"/>
  <c r="K40" i="9"/>
  <c r="Q11" i="16"/>
  <c r="R11" i="16" s="1"/>
  <c r="K10" i="16"/>
  <c r="L10" i="16" s="1"/>
  <c r="S16" i="9"/>
  <c r="U16" i="9" s="1"/>
  <c r="H41" i="9"/>
  <c r="F41" i="9"/>
  <c r="J108" i="9"/>
  <c r="K138" i="9"/>
  <c r="V169" i="9"/>
  <c r="J123" i="9"/>
  <c r="J40" i="9"/>
  <c r="V294" i="9"/>
  <c r="U294" i="9"/>
  <c r="K108" i="9"/>
  <c r="K139" i="9"/>
  <c r="J139" i="9"/>
  <c r="J122" i="9"/>
  <c r="U169" i="9"/>
  <c r="K294" i="9"/>
  <c r="J15" i="9"/>
  <c r="J294" i="9"/>
  <c r="K122" i="9"/>
  <c r="K123" i="9"/>
  <c r="T16" i="9"/>
  <c r="V16" i="9" s="1"/>
  <c r="H16" i="9"/>
  <c r="J16" i="9" s="1"/>
  <c r="I16" i="9"/>
  <c r="K16" i="9" s="1"/>
  <c r="F70" i="9"/>
  <c r="K70" i="9" s="1"/>
  <c r="H70" i="9"/>
  <c r="V15" i="9"/>
  <c r="K69" i="9"/>
  <c r="U15" i="9"/>
  <c r="S31" i="9"/>
  <c r="Q31" i="9"/>
  <c r="V31" i="9" s="1"/>
  <c r="J69" i="9"/>
  <c r="I71" i="9"/>
  <c r="H71" i="9"/>
  <c r="F71" i="9"/>
  <c r="S170" i="9"/>
  <c r="Q170" i="9"/>
  <c r="V159" i="9" s="1"/>
  <c r="T170" i="9"/>
  <c r="I124" i="9"/>
  <c r="H124" i="9"/>
  <c r="F124" i="9"/>
  <c r="Q17" i="9"/>
  <c r="S17" i="9"/>
  <c r="T17" i="9"/>
  <c r="I295" i="9"/>
  <c r="H295" i="9"/>
  <c r="F295" i="9"/>
  <c r="R33" i="9"/>
  <c r="G125" i="9"/>
  <c r="G296" i="9"/>
  <c r="G43" i="9"/>
  <c r="R296" i="9"/>
  <c r="G110" i="9"/>
  <c r="G141" i="9"/>
  <c r="G18" i="9"/>
  <c r="G17" i="9"/>
  <c r="I140" i="9"/>
  <c r="H140" i="9"/>
  <c r="F140" i="9"/>
  <c r="Q295" i="9"/>
  <c r="S295" i="9"/>
  <c r="T295" i="9"/>
  <c r="R32" i="9"/>
  <c r="G42" i="9"/>
  <c r="I109" i="9"/>
  <c r="H109" i="9"/>
  <c r="F109" i="9"/>
  <c r="K41" i="9"/>
  <c r="U8" i="16" l="1"/>
  <c r="U9" i="16" s="1"/>
  <c r="J41" i="9"/>
  <c r="J70" i="9"/>
  <c r="K295" i="9"/>
  <c r="K71" i="9"/>
  <c r="K72" i="9" s="1"/>
  <c r="K109" i="9"/>
  <c r="U295" i="9"/>
  <c r="V170" i="9"/>
  <c r="V171" i="9" s="1"/>
  <c r="U170" i="9"/>
  <c r="U171" i="9" s="1"/>
  <c r="J109" i="9"/>
  <c r="V295" i="9"/>
  <c r="J71" i="9"/>
  <c r="J124" i="9"/>
  <c r="J140" i="9"/>
  <c r="K140" i="9"/>
  <c r="J295" i="9"/>
  <c r="K60" i="9"/>
  <c r="K124" i="9"/>
  <c r="U31" i="9"/>
  <c r="H17" i="9"/>
  <c r="F17" i="9"/>
  <c r="I17" i="9"/>
  <c r="H141" i="9"/>
  <c r="I141" i="9"/>
  <c r="F141" i="9"/>
  <c r="K129" i="9" s="1"/>
  <c r="I296" i="9"/>
  <c r="H296" i="9"/>
  <c r="F296" i="9"/>
  <c r="R297" i="9"/>
  <c r="G126" i="9"/>
  <c r="G297" i="9"/>
  <c r="V17" i="9"/>
  <c r="S296" i="9"/>
  <c r="Q296" i="9"/>
  <c r="T296" i="9"/>
  <c r="I42" i="9"/>
  <c r="H42" i="9"/>
  <c r="F42" i="9"/>
  <c r="H110" i="9"/>
  <c r="I110" i="9"/>
  <c r="F110" i="9"/>
  <c r="K98" i="9" s="1"/>
  <c r="R18" i="9"/>
  <c r="U17" i="9"/>
  <c r="S32" i="9"/>
  <c r="Q32" i="9"/>
  <c r="T32" i="9"/>
  <c r="H125" i="9"/>
  <c r="I125" i="9"/>
  <c r="F125" i="9"/>
  <c r="H18" i="9"/>
  <c r="I18" i="9"/>
  <c r="F18" i="9"/>
  <c r="I43" i="9"/>
  <c r="H43" i="9"/>
  <c r="F43" i="9"/>
  <c r="S33" i="9"/>
  <c r="Q33" i="9"/>
  <c r="V21" i="9" s="1"/>
  <c r="T33" i="9"/>
  <c r="O7" i="16" l="1"/>
  <c r="C11" i="16"/>
  <c r="O9" i="16"/>
  <c r="I8" i="16"/>
  <c r="I12" i="16" s="1"/>
  <c r="V8" i="16"/>
  <c r="V9" i="16" s="1"/>
  <c r="K8" i="16"/>
  <c r="L8" i="16" s="1"/>
  <c r="W8" i="16"/>
  <c r="X8" i="16" s="1"/>
  <c r="J72" i="9"/>
  <c r="K110" i="9"/>
  <c r="K111" i="9" s="1"/>
  <c r="J125" i="9"/>
  <c r="J110" i="9"/>
  <c r="J111" i="9" s="1"/>
  <c r="K125" i="9"/>
  <c r="U296" i="9"/>
  <c r="K296" i="9"/>
  <c r="J296" i="9"/>
  <c r="K17" i="9"/>
  <c r="V296" i="9"/>
  <c r="K141" i="9"/>
  <c r="K142" i="9" s="1"/>
  <c r="J141" i="9"/>
  <c r="J142" i="9" s="1"/>
  <c r="V33" i="9"/>
  <c r="V32" i="9"/>
  <c r="J43" i="9"/>
  <c r="J18" i="9"/>
  <c r="K43" i="9"/>
  <c r="K31" i="9"/>
  <c r="K6" i="9"/>
  <c r="J17" i="9"/>
  <c r="U32" i="9"/>
  <c r="J42" i="9"/>
  <c r="H126" i="9"/>
  <c r="I126" i="9"/>
  <c r="F126" i="9"/>
  <c r="K113" i="9" s="1"/>
  <c r="G298" i="9"/>
  <c r="R298" i="9"/>
  <c r="Q18" i="9"/>
  <c r="V6" i="9" s="1"/>
  <c r="T18" i="9"/>
  <c r="S18" i="9"/>
  <c r="U33" i="9"/>
  <c r="K18" i="9"/>
  <c r="K42" i="9"/>
  <c r="S297" i="9"/>
  <c r="Q297" i="9"/>
  <c r="T297" i="9"/>
  <c r="H297" i="9"/>
  <c r="I297" i="9"/>
  <c r="F297" i="9"/>
  <c r="J44" i="9" l="1"/>
  <c r="D10" i="16" s="1"/>
  <c r="P7" i="16"/>
  <c r="C10" i="16"/>
  <c r="Q7" i="16"/>
  <c r="R7" i="16" s="1"/>
  <c r="K12" i="16"/>
  <c r="L12" i="16" s="1"/>
  <c r="O8" i="16"/>
  <c r="O16" i="16" s="1"/>
  <c r="J8" i="16"/>
  <c r="J12" i="16" s="1"/>
  <c r="C8" i="16"/>
  <c r="P9" i="16"/>
  <c r="W9" i="16"/>
  <c r="X9" i="16" s="1"/>
  <c r="C7" i="16"/>
  <c r="Q9" i="16"/>
  <c r="R9" i="16" s="1"/>
  <c r="J126" i="9"/>
  <c r="J127" i="9" s="1"/>
  <c r="K126" i="9"/>
  <c r="K127" i="9" s="1"/>
  <c r="J19" i="9"/>
  <c r="J297" i="9"/>
  <c r="V297" i="9"/>
  <c r="K19" i="9"/>
  <c r="K297" i="9"/>
  <c r="U297" i="9"/>
  <c r="V34" i="9"/>
  <c r="K44" i="9"/>
  <c r="V18" i="9"/>
  <c r="V19" i="9" s="1"/>
  <c r="U34" i="9"/>
  <c r="Q298" i="9"/>
  <c r="S298" i="9"/>
  <c r="T298" i="9"/>
  <c r="G299" i="9"/>
  <c r="R299" i="9"/>
  <c r="U18" i="9"/>
  <c r="U19" i="9" s="1"/>
  <c r="I298" i="9"/>
  <c r="H298" i="9"/>
  <c r="F298" i="9"/>
  <c r="D11" i="16" l="1"/>
  <c r="E10" i="16"/>
  <c r="F10" i="16" s="1"/>
  <c r="E7" i="16"/>
  <c r="F7" i="16" s="1"/>
  <c r="Q8" i="16"/>
  <c r="R8" i="16" s="1"/>
  <c r="C13" i="16"/>
  <c r="D7" i="16"/>
  <c r="E11" i="16"/>
  <c r="F11" i="16" s="1"/>
  <c r="P8" i="16"/>
  <c r="P16" i="16" s="1"/>
  <c r="D8" i="16"/>
  <c r="E8" i="16"/>
  <c r="F8" i="16" s="1"/>
  <c r="V298" i="9"/>
  <c r="U298" i="9"/>
  <c r="J298" i="9"/>
  <c r="K298" i="9"/>
  <c r="S299" i="9"/>
  <c r="T299" i="9"/>
  <c r="Q299" i="9"/>
  <c r="H299" i="9"/>
  <c r="I299" i="9"/>
  <c r="F299" i="9"/>
  <c r="R300" i="9"/>
  <c r="G300" i="9"/>
  <c r="Z4" i="16" l="1"/>
  <c r="G1" i="16"/>
  <c r="F1" i="9" s="1"/>
  <c r="Z3" i="16"/>
  <c r="D1" i="16"/>
  <c r="C1" i="9" s="1"/>
  <c r="Q16" i="16"/>
  <c r="R16" i="16" s="1"/>
  <c r="D13" i="16"/>
  <c r="E13" i="16"/>
  <c r="F13" i="16" s="1"/>
  <c r="K299" i="9"/>
  <c r="V299" i="9"/>
  <c r="U299" i="9"/>
  <c r="J299" i="9"/>
  <c r="Q300" i="9"/>
  <c r="S300" i="9"/>
  <c r="T300" i="9"/>
  <c r="R301" i="9"/>
  <c r="G301" i="9"/>
  <c r="H300" i="9"/>
  <c r="I300" i="9"/>
  <c r="F300" i="9"/>
  <c r="N1" i="16" l="1"/>
  <c r="N1" i="9" s="1"/>
  <c r="V300" i="9"/>
  <c r="J300" i="9"/>
  <c r="U300" i="9"/>
  <c r="K300" i="9"/>
  <c r="R302" i="9"/>
  <c r="G302" i="9"/>
  <c r="H301" i="9"/>
  <c r="I301" i="9"/>
  <c r="F301" i="9"/>
  <c r="Q301" i="9"/>
  <c r="S301" i="9"/>
  <c r="T301" i="9"/>
  <c r="V301" i="9" l="1"/>
  <c r="U301" i="9"/>
  <c r="J301" i="9"/>
  <c r="K301" i="9"/>
  <c r="I302" i="9"/>
  <c r="H302" i="9"/>
  <c r="F302" i="9"/>
  <c r="S302" i="9"/>
  <c r="Q302" i="9"/>
  <c r="T302" i="9"/>
  <c r="R303" i="9"/>
  <c r="G303" i="9"/>
  <c r="J302" i="9" l="1"/>
  <c r="V302" i="9"/>
  <c r="U302" i="9"/>
  <c r="T303" i="9"/>
  <c r="S303" i="9"/>
  <c r="Q303" i="9"/>
  <c r="R304" i="9"/>
  <c r="G304" i="9"/>
  <c r="K302" i="9"/>
  <c r="I303" i="9"/>
  <c r="H303" i="9"/>
  <c r="F303" i="9"/>
  <c r="U303" i="9" l="1"/>
  <c r="V303" i="9"/>
  <c r="J303" i="9"/>
  <c r="K303" i="9"/>
  <c r="G305" i="9"/>
  <c r="R305" i="9"/>
  <c r="H304" i="9"/>
  <c r="I304" i="9"/>
  <c r="F304" i="9"/>
  <c r="S304" i="9"/>
  <c r="T304" i="9"/>
  <c r="Q304" i="9"/>
  <c r="V304" i="9" l="1"/>
  <c r="U304" i="9"/>
  <c r="K304" i="9"/>
  <c r="J304" i="9"/>
  <c r="I305" i="9"/>
  <c r="H305" i="9"/>
  <c r="F305" i="9"/>
  <c r="T305" i="9"/>
  <c r="Q305" i="9"/>
  <c r="S305" i="9"/>
  <c r="R306" i="9"/>
  <c r="G306" i="9"/>
  <c r="V305" i="9" l="1"/>
  <c r="U305" i="9"/>
  <c r="J305" i="9"/>
  <c r="K305" i="9"/>
  <c r="S306" i="9"/>
  <c r="Q306" i="9"/>
  <c r="T306" i="9"/>
  <c r="R307" i="9"/>
  <c r="G307" i="9"/>
  <c r="I306" i="9"/>
  <c r="H306" i="9"/>
  <c r="F306" i="9"/>
  <c r="V306" i="9" l="1"/>
  <c r="U306" i="9"/>
  <c r="J306" i="9"/>
  <c r="K306" i="9"/>
  <c r="R308" i="9"/>
  <c r="G308" i="9"/>
  <c r="H307" i="9"/>
  <c r="I307" i="9"/>
  <c r="F307" i="9"/>
  <c r="S307" i="9"/>
  <c r="T307" i="9"/>
  <c r="Q307" i="9"/>
  <c r="V307" i="9" l="1"/>
  <c r="J307" i="9"/>
  <c r="U307" i="9"/>
  <c r="K307" i="9"/>
  <c r="H308" i="9"/>
  <c r="I308" i="9"/>
  <c r="F308" i="9"/>
  <c r="Q308" i="9"/>
  <c r="S308" i="9"/>
  <c r="T308" i="9"/>
  <c r="G309" i="9"/>
  <c r="R309" i="9"/>
  <c r="V308" i="9" l="1"/>
  <c r="K308" i="9"/>
  <c r="U308" i="9"/>
  <c r="H309" i="9"/>
  <c r="I309" i="9"/>
  <c r="F309" i="9"/>
  <c r="S309" i="9"/>
  <c r="T309" i="9"/>
  <c r="Q309" i="9"/>
  <c r="G310" i="9"/>
  <c r="R310" i="9"/>
  <c r="J308" i="9"/>
  <c r="V309" i="9" l="1"/>
  <c r="U309" i="9"/>
  <c r="K309" i="9"/>
  <c r="J309" i="9"/>
  <c r="I310" i="9"/>
  <c r="H310" i="9"/>
  <c r="F310" i="9"/>
  <c r="G311" i="9"/>
  <c r="R311" i="9"/>
  <c r="Q310" i="9"/>
  <c r="S310" i="9"/>
  <c r="T310" i="9"/>
  <c r="U310" i="9" l="1"/>
  <c r="V310" i="9"/>
  <c r="J310" i="9"/>
  <c r="G312" i="9"/>
  <c r="R312" i="9"/>
  <c r="K310" i="9"/>
  <c r="S311" i="9"/>
  <c r="T311" i="9"/>
  <c r="Q311" i="9"/>
  <c r="H311" i="9"/>
  <c r="I311" i="9"/>
  <c r="F311" i="9"/>
  <c r="V311" i="9" l="1"/>
  <c r="K311" i="9"/>
  <c r="U311" i="9"/>
  <c r="J311" i="9"/>
  <c r="T312" i="9"/>
  <c r="S312" i="9"/>
  <c r="Q312" i="9"/>
  <c r="AX30" i="2"/>
  <c r="G313" i="9" s="1"/>
  <c r="R313" i="9"/>
  <c r="H312" i="9"/>
  <c r="I312" i="9"/>
  <c r="F312" i="9"/>
  <c r="K312" i="9" l="1"/>
  <c r="U312" i="9"/>
  <c r="V312" i="9"/>
  <c r="J312" i="9"/>
  <c r="AX31" i="2"/>
  <c r="G314" i="9"/>
  <c r="R314" i="9"/>
  <c r="H313" i="9"/>
  <c r="I313" i="9"/>
  <c r="F313" i="9"/>
  <c r="S313" i="9"/>
  <c r="T313" i="9"/>
  <c r="Q313" i="9"/>
  <c r="J313" i="9" l="1"/>
  <c r="V313" i="9"/>
  <c r="U313" i="9"/>
  <c r="K313" i="9"/>
  <c r="S314" i="9"/>
  <c r="T314" i="9"/>
  <c r="Q314" i="9"/>
  <c r="H314" i="9"/>
  <c r="I314" i="9"/>
  <c r="F314" i="9"/>
  <c r="AX32" i="2"/>
  <c r="G315" i="9"/>
  <c r="R315" i="9"/>
  <c r="K314" i="9" l="1"/>
  <c r="U314" i="9"/>
  <c r="V314" i="9"/>
  <c r="J314" i="9"/>
  <c r="I315" i="9"/>
  <c r="H315" i="9"/>
  <c r="F315" i="9"/>
  <c r="Q315" i="9"/>
  <c r="S315" i="9"/>
  <c r="T315" i="9"/>
  <c r="AX33" i="2"/>
  <c r="R316" i="9"/>
  <c r="G316" i="9"/>
  <c r="V315" i="9" l="1"/>
  <c r="J315" i="9"/>
  <c r="U315" i="9"/>
  <c r="K315" i="9"/>
  <c r="H316" i="9"/>
  <c r="I316" i="9"/>
  <c r="F316" i="9"/>
  <c r="S316" i="9"/>
  <c r="T316" i="9"/>
  <c r="Q316" i="9"/>
  <c r="AX34" i="2"/>
  <c r="R317" i="9"/>
  <c r="G317" i="9"/>
  <c r="J316" i="9" l="1"/>
  <c r="U316" i="9"/>
  <c r="V316" i="9"/>
  <c r="Q317" i="9"/>
  <c r="T317" i="9"/>
  <c r="S317" i="9"/>
  <c r="AX35" i="2"/>
  <c r="R318" i="9"/>
  <c r="G318" i="9"/>
  <c r="K316" i="9"/>
  <c r="H317" i="9"/>
  <c r="I317" i="9"/>
  <c r="F317" i="9"/>
  <c r="J317" i="9" l="1"/>
  <c r="V317" i="9"/>
  <c r="U317" i="9"/>
  <c r="K317" i="9"/>
  <c r="I318" i="9"/>
  <c r="H318" i="9"/>
  <c r="F318" i="9"/>
  <c r="AX36" i="2"/>
  <c r="R319" i="9"/>
  <c r="G319" i="9"/>
  <c r="S318" i="9"/>
  <c r="Q318" i="9"/>
  <c r="T318" i="9"/>
  <c r="V318" i="9" l="1"/>
  <c r="K318" i="9"/>
  <c r="U318" i="9"/>
  <c r="I319" i="9"/>
  <c r="H319" i="9"/>
  <c r="F319" i="9"/>
  <c r="AX37" i="2"/>
  <c r="R320" i="9"/>
  <c r="G320" i="9"/>
  <c r="J318" i="9"/>
  <c r="Q319" i="9"/>
  <c r="S319" i="9"/>
  <c r="T319" i="9"/>
  <c r="U319" i="9" l="1"/>
  <c r="V319" i="9"/>
  <c r="K319" i="9"/>
  <c r="AX38" i="2"/>
  <c r="G321" i="9"/>
  <c r="R321" i="9"/>
  <c r="J319" i="9"/>
  <c r="H320" i="9"/>
  <c r="I320" i="9"/>
  <c r="F320" i="9"/>
  <c r="Q320" i="9"/>
  <c r="T320" i="9"/>
  <c r="S320" i="9"/>
  <c r="U320" i="9" l="1"/>
  <c r="V320" i="9"/>
  <c r="J320" i="9"/>
  <c r="K320" i="9"/>
  <c r="Q321" i="9"/>
  <c r="S321" i="9"/>
  <c r="T321" i="9"/>
  <c r="I321" i="9"/>
  <c r="H321" i="9"/>
  <c r="F321" i="9"/>
  <c r="AX39" i="2"/>
  <c r="G322" i="9"/>
  <c r="R322" i="9"/>
  <c r="U321" i="9" l="1"/>
  <c r="K321" i="9"/>
  <c r="V321" i="9"/>
  <c r="J321" i="9"/>
  <c r="H322" i="9"/>
  <c r="I322" i="9"/>
  <c r="F322" i="9"/>
  <c r="AX40" i="2"/>
  <c r="R323" i="9"/>
  <c r="G323" i="9"/>
  <c r="S322" i="9"/>
  <c r="Q322" i="9"/>
  <c r="T322" i="9"/>
  <c r="K322" i="9" l="1"/>
  <c r="V322" i="9"/>
  <c r="U322" i="9"/>
  <c r="AX41" i="2"/>
  <c r="G324" i="9"/>
  <c r="R324" i="9"/>
  <c r="J322" i="9"/>
  <c r="I323" i="9"/>
  <c r="H323" i="9"/>
  <c r="F323" i="9"/>
  <c r="Q323" i="9"/>
  <c r="S323" i="9"/>
  <c r="T323" i="9"/>
  <c r="V323" i="9" l="1"/>
  <c r="U323" i="9"/>
  <c r="J323" i="9"/>
  <c r="K323" i="9"/>
  <c r="AX42" i="2"/>
  <c r="R325" i="9"/>
  <c r="G325" i="9"/>
  <c r="T324" i="9"/>
  <c r="S324" i="9"/>
  <c r="Q324" i="9"/>
  <c r="H324" i="9"/>
  <c r="I324" i="9"/>
  <c r="F324" i="9"/>
  <c r="U324" i="9" l="1"/>
  <c r="K324" i="9"/>
  <c r="V324" i="9"/>
  <c r="J324" i="9"/>
  <c r="I325" i="9"/>
  <c r="H325" i="9"/>
  <c r="F325" i="9"/>
  <c r="K284" i="9" s="1"/>
  <c r="T325" i="9"/>
  <c r="Q325" i="9"/>
  <c r="V284" i="9" s="1"/>
  <c r="S325" i="9"/>
  <c r="U21" i="16" l="1"/>
  <c r="U20" i="16"/>
  <c r="V325" i="9"/>
  <c r="V326" i="9" s="1"/>
  <c r="U325" i="9"/>
  <c r="U326" i="9" s="1"/>
  <c r="J325" i="9"/>
  <c r="J326" i="9" s="1"/>
  <c r="K325" i="9"/>
  <c r="K326" i="9" s="1"/>
  <c r="V21" i="16" l="1"/>
  <c r="W21" i="16"/>
  <c r="X21" i="16" s="1"/>
  <c r="W20" i="16"/>
  <c r="X20" i="16" s="1"/>
  <c r="U22" i="16"/>
  <c r="V20" i="16"/>
  <c r="W22" i="16" l="1"/>
  <c r="X22" i="16" s="1"/>
  <c r="V22" i="16"/>
  <c r="N2" i="16" l="1"/>
  <c r="N2" i="9" s="1"/>
  <c r="S1" i="16"/>
  <c r="R1" i="9" s="1"/>
  <c r="L1" i="16"/>
  <c r="K1" i="9" s="1"/>
  <c r="Z5" i="16"/>
  <c r="I1" i="16"/>
  <c r="I1" i="9" s="1"/>
</calcChain>
</file>

<file path=xl/sharedStrings.xml><?xml version="1.0" encoding="utf-8"?>
<sst xmlns="http://schemas.openxmlformats.org/spreadsheetml/2006/main" count="1293" uniqueCount="181">
  <si>
    <t>TH Level</t>
  </si>
  <si>
    <t>LVL Max</t>
  </si>
  <si>
    <t>LVL</t>
  </si>
  <si>
    <t>Cost</t>
  </si>
  <si>
    <t>Time</t>
  </si>
  <si>
    <t>LVL Max2</t>
  </si>
  <si>
    <t>LVL Max3</t>
  </si>
  <si>
    <t>LVL Max4</t>
  </si>
  <si>
    <t>LVL Max5</t>
  </si>
  <si>
    <t>LVL Max6</t>
  </si>
  <si>
    <t>LVL Max7</t>
  </si>
  <si>
    <t>LVL Max8</t>
  </si>
  <si>
    <t>LVL Max9</t>
  </si>
  <si>
    <t>NB</t>
  </si>
  <si>
    <t>+</t>
  </si>
  <si>
    <t>Total</t>
  </si>
  <si>
    <t>Max</t>
  </si>
  <si>
    <t>Max +</t>
  </si>
  <si>
    <t>Total Time</t>
  </si>
  <si>
    <t>Total Cost</t>
  </si>
  <si>
    <t>Archer</t>
  </si>
  <si>
    <t>Goblin</t>
  </si>
  <si>
    <t>Dragon</t>
  </si>
  <si>
    <t>P.E.K.K.A</t>
  </si>
  <si>
    <t>Valkyrie</t>
  </si>
  <si>
    <t>Golem</t>
  </si>
  <si>
    <t>LVL Max10</t>
  </si>
  <si>
    <t>v1.0</t>
  </si>
  <si>
    <t>Version</t>
  </si>
  <si>
    <t>Description</t>
  </si>
  <si>
    <t>v1.1</t>
  </si>
  <si>
    <t>v1.2</t>
  </si>
  <si>
    <t>v1.3</t>
  </si>
  <si>
    <t>v1.4</t>
  </si>
  <si>
    <t>v1.5</t>
  </si>
  <si>
    <t>v1.6</t>
  </si>
  <si>
    <t>http://xls.lu/awMM</t>
  </si>
  <si>
    <t>http://xls.lu/5u0X</t>
  </si>
  <si>
    <t>http://xls.lu/46jK</t>
  </si>
  <si>
    <t>http://xls.lu/MQ5f</t>
  </si>
  <si>
    <t>http://xls.lu/5Oo3</t>
  </si>
  <si>
    <t>http://xls.lu/6W59</t>
  </si>
  <si>
    <t>Control</t>
  </si>
  <si>
    <t>Tot.</t>
  </si>
  <si>
    <t>v1.7</t>
  </si>
  <si>
    <t>Spells Upgrades (Available &amp; Max LVL)</t>
  </si>
  <si>
    <t>Spells Upgrades (Changes)</t>
  </si>
  <si>
    <t>http://xls.lu/kHZg</t>
  </si>
  <si>
    <t>ChangeLog</t>
  </si>
  <si>
    <t>http://xls.lu/34ir</t>
  </si>
  <si>
    <t>v1.8</t>
  </si>
  <si>
    <t>http://xls.lu/D7nP</t>
  </si>
  <si>
    <t>v1.9</t>
  </si>
  <si>
    <t>http://xls.lu/aBod</t>
  </si>
  <si>
    <t>v2.0</t>
  </si>
  <si>
    <t>/</t>
  </si>
  <si>
    <t>Bâtiments de Ressources</t>
  </si>
  <si>
    <t>Bâtiments d'Armée</t>
  </si>
  <si>
    <t>Bâtiments Défensifs</t>
  </si>
  <si>
    <t>Autres Bât.</t>
  </si>
  <si>
    <t>Améliorations Sorts</t>
  </si>
  <si>
    <t>Améliorations Troupes Normales</t>
  </si>
  <si>
    <t>Améliorations Troupes Noires</t>
  </si>
  <si>
    <t>Héros</t>
  </si>
  <si>
    <t>Cellule rouge :</t>
  </si>
  <si>
    <t>Amélioration indisponible</t>
  </si>
  <si>
    <t>Colonne orange :</t>
  </si>
  <si>
    <t>Erreur
Max. total atteint</t>
  </si>
  <si>
    <r>
      <rPr>
        <b/>
        <u/>
        <sz val="8"/>
        <color theme="1"/>
        <rFont val="Calibri"/>
        <family val="2"/>
        <scheme val="minor"/>
      </rPr>
      <t>INSTRUCTIONS: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1.</t>
    </r>
    <r>
      <rPr>
        <sz val="8"/>
        <color theme="1"/>
        <rFont val="Calibri"/>
        <family val="2"/>
        <scheme val="minor"/>
      </rPr>
      <t xml:space="preserve"> Niveau HDV : Indiquez le niveau de votre Hôtel de Ville (1-10)
</t>
    </r>
    <r>
      <rPr>
        <b/>
        <sz val="8"/>
        <color theme="1"/>
        <rFont val="Calibri"/>
        <family val="2"/>
        <scheme val="minor"/>
      </rPr>
      <t>2.</t>
    </r>
    <r>
      <rPr>
        <sz val="8"/>
        <color theme="1"/>
        <rFont val="Calibri"/>
        <family val="2"/>
        <scheme val="minor"/>
      </rPr>
      <t xml:space="preserve"> Ouvriers : Indiquez le nombre d'Ouvriers que vous avez (1-5)
</t>
    </r>
    <r>
      <rPr>
        <b/>
        <sz val="8"/>
        <color theme="1"/>
        <rFont val="Calibri"/>
        <family val="2"/>
        <scheme val="minor"/>
      </rPr>
      <t>3.a.</t>
    </r>
    <r>
      <rPr>
        <sz val="8"/>
        <color theme="1"/>
        <rFont val="Calibri"/>
        <family val="2"/>
        <scheme val="minor"/>
      </rPr>
      <t xml:space="preserve"> Notez le nombre de Bâtiments que vous avez, avec leurs niveaux correspondants
</t>
    </r>
    <r>
      <rPr>
        <b/>
        <sz val="8"/>
        <color theme="1"/>
        <rFont val="Calibri"/>
        <family val="2"/>
        <scheme val="minor"/>
      </rPr>
      <t>3.b.</t>
    </r>
    <r>
      <rPr>
        <sz val="8"/>
        <color theme="1"/>
        <rFont val="Calibri"/>
        <family val="2"/>
        <scheme val="minor"/>
      </rPr>
      <t xml:space="preserve"> Notez le niveau des améliorations de vos Sorts/Troupes Normales/Troupes Noires
</t>
    </r>
    <r>
      <rPr>
        <b/>
        <sz val="8"/>
        <color theme="1"/>
        <rFont val="Calibri"/>
        <family val="2"/>
        <scheme val="minor"/>
      </rPr>
      <t>3.c.</t>
    </r>
    <r>
      <rPr>
        <sz val="8"/>
        <color theme="1"/>
        <rFont val="Calibri"/>
        <family val="2"/>
        <scheme val="minor"/>
      </rPr>
      <t xml:space="preserve"> Notez le niveau de vos Héros</t>
    </r>
  </si>
  <si>
    <t>Niveau HDV</t>
  </si>
  <si>
    <t>Ouvriers</t>
  </si>
  <si>
    <t>Autres Bâtiments</t>
  </si>
  <si>
    <t>À F.</t>
  </si>
  <si>
    <t>AUG.</t>
  </si>
  <si>
    <t>Coût Total</t>
  </si>
  <si>
    <t>Temps Total</t>
  </si>
  <si>
    <t>Or</t>
  </si>
  <si>
    <t>Élixir</t>
  </si>
  <si>
    <t>Élixir Noir</t>
  </si>
  <si>
    <t>Bâtiment</t>
  </si>
  <si>
    <t>Héro</t>
  </si>
  <si>
    <t>Troupes Noires</t>
  </si>
  <si>
    <t>Sort</t>
  </si>
  <si>
    <t>Barbare</t>
  </si>
  <si>
    <t>Géant</t>
  </si>
  <si>
    <t>Sapeur</t>
  </si>
  <si>
    <t>Ballon</t>
  </si>
  <si>
    <t>Sorcier</t>
  </si>
  <si>
    <t>Guérisseuse</t>
  </si>
  <si>
    <t>Temps en :</t>
  </si>
  <si>
    <t>À FAIRE</t>
  </si>
  <si>
    <t>Actuel</t>
  </si>
  <si>
    <t>Améliorations</t>
  </si>
  <si>
    <t>Télécharger</t>
  </si>
  <si>
    <t>Nom du Fichier</t>
  </si>
  <si>
    <t>- Version initiale</t>
  </si>
  <si>
    <t>Troupes Normales</t>
  </si>
  <si>
    <t>Serviteur</t>
  </si>
  <si>
    <t>Chevaucheur</t>
  </si>
  <si>
    <t>Reine des Archers</t>
  </si>
  <si>
    <t>Sort de Foudre</t>
  </si>
  <si>
    <t>Sort de Guérison</t>
  </si>
  <si>
    <t>Sort de Rage</t>
  </si>
  <si>
    <t>Sort de Saut</t>
  </si>
  <si>
    <t>Sort de Gel</t>
  </si>
  <si>
    <t>Mine d'Or</t>
  </si>
  <si>
    <t>Extracteur d'Élixir</t>
  </si>
  <si>
    <t>Foreuse d'Élixir N.</t>
  </si>
  <si>
    <t>Réservoir d'Or</t>
  </si>
  <si>
    <t>Réservoir d'Élixir</t>
  </si>
  <si>
    <t>Réserv. d'Élixir N.</t>
  </si>
  <si>
    <t>Caserne Noire</t>
  </si>
  <si>
    <t>Caserne</t>
  </si>
  <si>
    <t>Camp Militaire</t>
  </si>
  <si>
    <t>Laboratoire</t>
  </si>
  <si>
    <t>Usine de Sort</t>
  </si>
  <si>
    <t>Rempart</t>
  </si>
  <si>
    <t>Canon</t>
  </si>
  <si>
    <t>Mortier</t>
  </si>
  <si>
    <t>Tour d'Archers</t>
  </si>
  <si>
    <t>Déf. antiaérienne</t>
  </si>
  <si>
    <t>Tour de Sorcier</t>
  </si>
  <si>
    <t>Tesla camouflée</t>
  </si>
  <si>
    <t>Arc-X</t>
  </si>
  <si>
    <t>Château de Clan</t>
  </si>
  <si>
    <t>Hôtel de Ville</t>
  </si>
  <si>
    <t>Sommaire</t>
  </si>
  <si>
    <t>Bâtiments de Ressources (Disponible &amp; Niveau Max.)</t>
  </si>
  <si>
    <t>Bâtiments Défensifs (Disponible &amp; Niveau Max.)</t>
  </si>
  <si>
    <t>Bâtiments d'Armée (Disponible &amp; Niveau Max.)</t>
  </si>
  <si>
    <t>Usine de Sorts</t>
  </si>
  <si>
    <t>Foreuse d'Élixir Noir</t>
  </si>
  <si>
    <t>Réservoir d'Élixir Noir</t>
  </si>
  <si>
    <t>Coût</t>
  </si>
  <si>
    <t>Temps</t>
  </si>
  <si>
    <t>Bâtiments de Ressources (Changements)</t>
  </si>
  <si>
    <t>Héros (Changements)</t>
  </si>
  <si>
    <t>Roi Barbare</t>
  </si>
  <si>
    <t>Casse-Briques</t>
  </si>
  <si>
    <t>Coûts - Heroes</t>
  </si>
  <si>
    <t>Coûts - Bâtiments d'Armée</t>
  </si>
  <si>
    <t>Coûts - Bâtiments de Ressources</t>
  </si>
  <si>
    <t>Sort de Guériosn</t>
  </si>
  <si>
    <t>Héros (Dispo. &amp; Niveau Max.)</t>
  </si>
  <si>
    <t>Améliorations Troupes Noires (Dispo. &amp; Niveau Max.)</t>
  </si>
  <si>
    <t>Améliorations Troupes Noires (Changements)</t>
  </si>
  <si>
    <t>Bâtiments d'Armée (Changements)</t>
  </si>
  <si>
    <t>Pièges (Disponibles)</t>
  </si>
  <si>
    <t>Bombe</t>
  </si>
  <si>
    <t>P. à ressort</t>
  </si>
  <si>
    <t>Bobme Géante</t>
  </si>
  <si>
    <t>Bobm Aérienne</t>
  </si>
  <si>
    <t>Tête Chercheuse</t>
  </si>
  <si>
    <t>Défense Antiaérienne</t>
  </si>
  <si>
    <t>Tour de l'Enfer</t>
  </si>
  <si>
    <t>Bâtiments Défensifs (Changements)</t>
  </si>
  <si>
    <t>Pièges (Changements)</t>
  </si>
  <si>
    <t>Autres Bât. (Disponible &amp; Niveau Max.)</t>
  </si>
  <si>
    <t>Autres Bâtiments (Changements)</t>
  </si>
  <si>
    <t>Tesla Camouflée</t>
  </si>
  <si>
    <t>seconds</t>
  </si>
  <si>
    <t>Améliorations Troupes Normales (Changements)</t>
  </si>
  <si>
    <t>Améliorations Troupes Normales (Disponible &amp; Niveau Max.)</t>
  </si>
  <si>
    <t>Coûts - Bâtiments Défensifs</t>
  </si>
  <si>
    <t>Coûts - Autres Bâtiments</t>
  </si>
  <si>
    <t>Coûts - Amélioration Sorts</t>
  </si>
  <si>
    <t>Coûts - Améliorations Troupes Normales</t>
  </si>
  <si>
    <t>Coûts - Améliorations Troupes Noires</t>
  </si>
  <si>
    <t>- Amélioration Coût/Temps des Sorts</t>
  </si>
  <si>
    <t>- Ajout de l'onglet "ChangeLog"</t>
  </si>
  <si>
    <t>- Coût des Réservoirs d'Or &amp; Réservoirs d'Élixir réparé</t>
  </si>
  <si>
    <t>ChangeLog - Français</t>
  </si>
  <si>
    <t>-Traduction du fichier en français</t>
  </si>
  <si>
    <t>v2.0-fr</t>
  </si>
  <si>
    <t>- Réparation du coût du Golem
- Réparation du temps pour les amélior. Troupes/Sorts 
- Édition du format de cellule pour les nombres</t>
  </si>
  <si>
    <t>- Affichage des bâtiments par catégorie en un onglet
- Graphique changé dans l'onglet "À FAIRE"
- Ajout d'un graphique "Ressources Nécessaires"</t>
  </si>
  <si>
    <t>- Suppression de l'onglet  "À FAIRE - Par Niveau HDV"
- Renomement de l'onglet "À FAIRE - Par Actuel" par "À FAIRE"
- Formattage conditioné dans l'onglet "À FAIRE"</t>
  </si>
  <si>
    <t>- Changements dans l'onglet "Paramètres"
     - Sommaire de tous les Bâtiments et des améliorations de Sorts/Troupes Normales. 
     - Toutes les données doivent être écrites ici et l'onglet "À FAIRE" montre que les résultats
     - Ajout des indications à faire pour le fichier</t>
  </si>
  <si>
    <t>- Sommaire graphique change dans l'onglet "À FAIRE"
- Affichage du temps restant en jours, au lieu d'en heures
- Protection des cellules de formules</t>
  </si>
  <si>
    <t>- Édition des Bâtiments disponibles, suite à la maintenance du 24/06/2013
   Pour HDV niveau 10 :
        - 1 Mine d'Or supplémentaire
        - 1 Extracteur d'Élixir supplémentaire</t>
  </si>
  <si>
    <t>-Séparation du sommaire et des détails
     - Ajout de l'onglet "À FAIRE - Sommaire"
     - Renomement de l'onglet "À FAIRE" en "À  FAIRE - Détails"
- Les temps peuvnet être affichés en secondes/minutes/heures/jours/mois/jours heures minutes par sélection du choix en B2/À FAIRE - Sommaire
- Dissimulation des grilels dans les onglets
- Permission de changer le format de cellule/utiliser les filtres même si l'onglet est verrouillé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</si>
</sst>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&quot;TH LVL &quot;0"/>
    <numFmt numFmtId="165" formatCode="&quot;+&quot;0"/>
    <numFmt numFmtId="166" formatCode="&quot;x&quot;0"/>
    <numFmt numFmtId="167" formatCode="0.00&quot; hrs&quot;"/>
    <numFmt numFmtId="168" formatCode="&quot;Total Gold: &quot;#,#00"/>
    <numFmt numFmtId="169" formatCode="&quot;Total Elixir: &quot;#,#00"/>
    <numFmt numFmtId="170" formatCode="&quot;Total Dark Elixir: &quot;#,#00"/>
    <numFmt numFmtId="171" formatCode="&quot;Total Time: &quot;0.00&quot; hrs&quot;"/>
    <numFmt numFmtId="172" formatCode="&quot;Buildings: &quot;0.00&quot; hrs&quot;"/>
    <numFmt numFmtId="173" formatCode="&quot;Troups/Spells Up.: &quot;0.00&quot; hrs&quot;"/>
    <numFmt numFmtId="174" formatCode="&quot;Heroes: &quot;0.00&quot; hrs&quot;"/>
    <numFmt numFmtId="175" formatCode="d&quot; jours &quot;\ h:mm:ss\ "/>
    <numFmt numFmtId="176" formatCode="dd\-hh\-mm\-ss"/>
    <numFmt numFmtId="177" formatCode="&quot;&amp;CAR(13)&quot;0"/>
    <numFmt numFmtId="178" formatCode="[=0]\ &quot;LOL&quot;;General"/>
  </numFmts>
  <fonts count="41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b/>
      <sz val="8"/>
      <color rgb="FFC00000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2"/>
      <color theme="7"/>
      <name val="Cambria"/>
      <family val="2"/>
      <scheme val="major"/>
    </font>
    <font>
      <sz val="11"/>
      <color theme="1" tint="0.24994659260841701"/>
      <name val="Cambria"/>
      <family val="2"/>
      <scheme val="major"/>
    </font>
    <font>
      <b/>
      <sz val="11"/>
      <color theme="1" tint="0.2499465926084170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ambria"/>
      <family val="2"/>
      <scheme val="major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theme="4" tint="0.59999389629810485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rgb="FF7030A0"/>
        </stop>
        <stop position="1">
          <color rgb="FFFFC000"/>
        </stop>
      </gradient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Protection="0">
      <alignment vertical="center"/>
    </xf>
    <xf numFmtId="0" fontId="26" fillId="16" borderId="73" applyNumberFormat="0" applyProtection="0">
      <alignment horizontal="left" vertical="center"/>
    </xf>
    <xf numFmtId="0" fontId="27" fillId="0" borderId="0" applyNumberFormat="0" applyFill="0" applyBorder="0" applyProtection="0">
      <alignment horizontal="left" vertical="center"/>
    </xf>
    <xf numFmtId="0" fontId="28" fillId="0" borderId="0" applyFill="0" applyBorder="0" applyProtection="0">
      <alignment horizontal="left"/>
    </xf>
    <xf numFmtId="9" fontId="29" fillId="0" borderId="0" applyFill="0" applyBorder="0" applyProtection="0">
      <alignment horizontal="center" vertical="center"/>
    </xf>
    <xf numFmtId="0" fontId="30" fillId="0" borderId="0" applyFill="0" applyBorder="0" applyProtection="0">
      <alignment horizontal="center"/>
    </xf>
    <xf numFmtId="3" fontId="30" fillId="0" borderId="74" applyFill="0" applyProtection="0">
      <alignment horizontal="center"/>
    </xf>
    <xf numFmtId="0" fontId="32" fillId="0" borderId="0" applyNumberFormat="0" applyFill="0" applyBorder="0" applyAlignment="0" applyProtection="0"/>
  </cellStyleXfs>
  <cellXfs count="599">
    <xf numFmtId="0" fontId="0" fillId="0" borderId="0" xfId="0"/>
    <xf numFmtId="0" fontId="4" fillId="5" borderId="35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4" fillId="8" borderId="42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3" fontId="4" fillId="10" borderId="39" xfId="0" applyNumberFormat="1" applyFont="1" applyFill="1" applyBorder="1" applyAlignment="1">
      <alignment horizontal="center" vertical="center" wrapText="1"/>
    </xf>
    <xf numFmtId="3" fontId="4" fillId="10" borderId="4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7" fillId="4" borderId="47" xfId="0" applyFont="1" applyFill="1" applyBorder="1" applyAlignment="1">
      <alignment horizontal="center" wrapText="1"/>
    </xf>
    <xf numFmtId="0" fontId="7" fillId="4" borderId="49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3" fontId="6" fillId="10" borderId="36" xfId="0" applyNumberFormat="1" applyFont="1" applyFill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3" fontId="6" fillId="10" borderId="39" xfId="0" applyNumberFormat="1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50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4" fillId="6" borderId="39" xfId="0" applyNumberFormat="1" applyFont="1" applyFill="1" applyBorder="1" applyAlignment="1">
      <alignment horizontal="center" vertical="center" wrapText="1"/>
    </xf>
    <xf numFmtId="165" fontId="5" fillId="6" borderId="35" xfId="0" applyNumberFormat="1" applyFont="1" applyFill="1" applyBorder="1" applyAlignment="1">
      <alignment horizontal="center" vertical="center" wrapText="1"/>
    </xf>
    <xf numFmtId="165" fontId="4" fillId="8" borderId="39" xfId="0" applyNumberFormat="1" applyFont="1" applyFill="1" applyBorder="1" applyAlignment="1">
      <alignment horizontal="center" vertical="center" wrapText="1"/>
    </xf>
    <xf numFmtId="165" fontId="5" fillId="8" borderId="35" xfId="0" applyNumberFormat="1" applyFont="1" applyFill="1" applyBorder="1" applyAlignment="1">
      <alignment horizontal="center" vertical="center" wrapText="1"/>
    </xf>
    <xf numFmtId="165" fontId="4" fillId="5" borderId="36" xfId="0" applyNumberFormat="1" applyFont="1" applyFill="1" applyBorder="1" applyAlignment="1">
      <alignment horizontal="center" vertical="center" wrapText="1"/>
    </xf>
    <xf numFmtId="165" fontId="5" fillId="5" borderId="37" xfId="0" applyNumberFormat="1" applyFont="1" applyFill="1" applyBorder="1" applyAlignment="1">
      <alignment horizontal="center" vertical="center" wrapText="1"/>
    </xf>
    <xf numFmtId="165" fontId="4" fillId="7" borderId="36" xfId="0" applyNumberFormat="1" applyFont="1" applyFill="1" applyBorder="1" applyAlignment="1">
      <alignment horizontal="center" vertical="center" wrapText="1"/>
    </xf>
    <xf numFmtId="165" fontId="5" fillId="7" borderId="37" xfId="0" applyNumberFormat="1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5" fillId="6" borderId="55" xfId="0" applyFont="1" applyFill="1" applyBorder="1" applyAlignment="1">
      <alignment horizontal="center" vertical="center" wrapText="1"/>
    </xf>
    <xf numFmtId="0" fontId="4" fillId="8" borderId="55" xfId="0" applyFont="1" applyFill="1" applyBorder="1" applyAlignment="1">
      <alignment horizontal="center" vertical="center" wrapText="1"/>
    </xf>
    <xf numFmtId="0" fontId="5" fillId="8" borderId="55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4" fillId="8" borderId="45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8" borderId="52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6" fillId="12" borderId="38" xfId="0" applyNumberFormat="1" applyFont="1" applyFill="1" applyBorder="1" applyAlignment="1">
      <alignment horizontal="center" wrapText="1"/>
    </xf>
    <xf numFmtId="2" fontId="6" fillId="12" borderId="40" xfId="0" applyNumberFormat="1" applyFont="1" applyFill="1" applyBorder="1" applyAlignment="1">
      <alignment horizontal="center" wrapText="1"/>
    </xf>
    <xf numFmtId="2" fontId="4" fillId="12" borderId="40" xfId="0" applyNumberFormat="1" applyFont="1" applyFill="1" applyBorder="1" applyAlignment="1">
      <alignment horizontal="center" vertical="center" wrapText="1"/>
    </xf>
    <xf numFmtId="2" fontId="4" fillId="12" borderId="43" xfId="0" applyNumberFormat="1" applyFont="1" applyFill="1" applyBorder="1" applyAlignment="1">
      <alignment horizontal="center" vertical="center" wrapText="1"/>
    </xf>
    <xf numFmtId="2" fontId="6" fillId="12" borderId="20" xfId="0" applyNumberFormat="1" applyFont="1" applyFill="1" applyBorder="1" applyAlignment="1">
      <alignment horizontal="center" wrapText="1"/>
    </xf>
    <xf numFmtId="2" fontId="6" fillId="12" borderId="44" xfId="0" applyNumberFormat="1" applyFont="1" applyFill="1" applyBorder="1" applyAlignment="1">
      <alignment horizontal="center" wrapText="1"/>
    </xf>
    <xf numFmtId="2" fontId="4" fillId="12" borderId="44" xfId="0" applyNumberFormat="1" applyFont="1" applyFill="1" applyBorder="1" applyAlignment="1">
      <alignment horizontal="center" vertical="center" wrapText="1"/>
    </xf>
    <xf numFmtId="2" fontId="4" fillId="12" borderId="21" xfId="0" applyNumberFormat="1" applyFont="1" applyFill="1" applyBorder="1" applyAlignment="1">
      <alignment horizontal="center" vertical="center" wrapText="1"/>
    </xf>
    <xf numFmtId="2" fontId="6" fillId="12" borderId="43" xfId="0" applyNumberFormat="1" applyFont="1" applyFill="1" applyBorder="1" applyAlignment="1">
      <alignment horizontal="center" wrapText="1"/>
    </xf>
    <xf numFmtId="0" fontId="3" fillId="4" borderId="58" xfId="0" applyFont="1" applyFill="1" applyBorder="1" applyAlignment="1">
      <alignment horizontal="center" vertical="center" wrapText="1"/>
    </xf>
    <xf numFmtId="165" fontId="4" fillId="8" borderId="52" xfId="0" applyNumberFormat="1" applyFont="1" applyFill="1" applyBorder="1" applyAlignment="1">
      <alignment horizontal="center" vertical="center" wrapText="1"/>
    </xf>
    <xf numFmtId="165" fontId="4" fillId="8" borderId="26" xfId="0" applyNumberFormat="1" applyFont="1" applyFill="1" applyBorder="1" applyAlignment="1">
      <alignment horizontal="center" vertical="center" wrapText="1"/>
    </xf>
    <xf numFmtId="165" fontId="4" fillId="7" borderId="54" xfId="0" applyNumberFormat="1" applyFont="1" applyFill="1" applyBorder="1" applyAlignment="1">
      <alignment horizontal="center" vertical="center" wrapText="1"/>
    </xf>
    <xf numFmtId="165" fontId="4" fillId="7" borderId="25" xfId="0" applyNumberFormat="1" applyFont="1" applyFill="1" applyBorder="1" applyAlignment="1">
      <alignment horizontal="center" vertical="center" wrapText="1"/>
    </xf>
    <xf numFmtId="165" fontId="4" fillId="7" borderId="59" xfId="0" applyNumberFormat="1" applyFont="1" applyFill="1" applyBorder="1" applyAlignment="1">
      <alignment horizontal="center" vertical="center" wrapText="1"/>
    </xf>
    <xf numFmtId="165" fontId="4" fillId="5" borderId="47" xfId="0" applyNumberFormat="1" applyFont="1" applyFill="1" applyBorder="1" applyAlignment="1">
      <alignment horizontal="center" vertical="center" wrapText="1"/>
    </xf>
    <xf numFmtId="165" fontId="4" fillId="7" borderId="47" xfId="0" applyNumberFormat="1" applyFont="1" applyFill="1" applyBorder="1" applyAlignment="1">
      <alignment horizontal="center" vertical="center" wrapText="1"/>
    </xf>
    <xf numFmtId="165" fontId="4" fillId="7" borderId="16" xfId="0" applyNumberFormat="1" applyFont="1" applyFill="1" applyBorder="1" applyAlignment="1">
      <alignment horizontal="center" vertical="center" wrapText="1"/>
    </xf>
    <xf numFmtId="3" fontId="6" fillId="10" borderId="51" xfId="0" applyNumberFormat="1" applyFont="1" applyFill="1" applyBorder="1" applyAlignment="1">
      <alignment horizontal="center" wrapText="1"/>
    </xf>
    <xf numFmtId="3" fontId="6" fillId="2" borderId="36" xfId="0" applyNumberFormat="1" applyFont="1" applyFill="1" applyBorder="1" applyAlignment="1">
      <alignment horizontal="center" wrapText="1"/>
    </xf>
    <xf numFmtId="3" fontId="6" fillId="2" borderId="39" xfId="0" applyNumberFormat="1" applyFont="1" applyFill="1" applyBorder="1" applyAlignment="1">
      <alignment horizontal="center" wrapText="1"/>
    </xf>
    <xf numFmtId="3" fontId="4" fillId="2" borderId="39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center" vertical="center" wrapText="1"/>
    </xf>
    <xf numFmtId="3" fontId="6" fillId="2" borderId="41" xfId="0" applyNumberFormat="1" applyFont="1" applyFill="1" applyBorder="1" applyAlignment="1">
      <alignment horizontal="center" wrapText="1"/>
    </xf>
    <xf numFmtId="3" fontId="6" fillId="2" borderId="51" xfId="0" applyNumberFormat="1" applyFont="1" applyFill="1" applyBorder="1" applyAlignment="1">
      <alignment horizontal="center" wrapText="1"/>
    </xf>
    <xf numFmtId="3" fontId="4" fillId="2" borderId="46" xfId="0" applyNumberFormat="1" applyFont="1" applyFill="1" applyBorder="1" applyAlignment="1">
      <alignment horizontal="center" vertical="center" wrapText="1"/>
    </xf>
    <xf numFmtId="3" fontId="6" fillId="10" borderId="35" xfId="0" applyNumberFormat="1" applyFont="1" applyFill="1" applyBorder="1" applyAlignment="1">
      <alignment horizontal="center" wrapText="1"/>
    </xf>
    <xf numFmtId="3" fontId="6" fillId="10" borderId="42" xfId="0" applyNumberFormat="1" applyFont="1" applyFill="1" applyBorder="1" applyAlignment="1">
      <alignment horizont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165" fontId="5" fillId="7" borderId="38" xfId="0" applyNumberFormat="1" applyFont="1" applyFill="1" applyBorder="1" applyAlignment="1">
      <alignment horizontal="center" vertical="center" wrapText="1"/>
    </xf>
    <xf numFmtId="165" fontId="4" fillId="5" borderId="61" xfId="0" applyNumberFormat="1" applyFont="1" applyFill="1" applyBorder="1" applyAlignment="1">
      <alignment horizontal="center" vertical="center" wrapText="1"/>
    </xf>
    <xf numFmtId="165" fontId="5" fillId="5" borderId="62" xfId="0" applyNumberFormat="1" applyFont="1" applyFill="1" applyBorder="1" applyAlignment="1">
      <alignment horizontal="center" vertical="center" wrapText="1"/>
    </xf>
    <xf numFmtId="165" fontId="4" fillId="7" borderId="61" xfId="0" applyNumberFormat="1" applyFont="1" applyFill="1" applyBorder="1" applyAlignment="1">
      <alignment horizontal="center" vertical="center" wrapText="1"/>
    </xf>
    <xf numFmtId="165" fontId="5" fillId="7" borderId="60" xfId="0" applyNumberFormat="1" applyFont="1" applyFill="1" applyBorder="1" applyAlignment="1">
      <alignment horizontal="center" vertical="center" wrapText="1"/>
    </xf>
    <xf numFmtId="165" fontId="4" fillId="5" borderId="35" xfId="0" applyNumberFormat="1" applyFont="1" applyFill="1" applyBorder="1" applyAlignment="1">
      <alignment horizontal="center" vertical="center" wrapText="1"/>
    </xf>
    <xf numFmtId="165" fontId="5" fillId="5" borderId="35" xfId="0" applyNumberFormat="1" applyFont="1" applyFill="1" applyBorder="1" applyAlignment="1">
      <alignment horizontal="center" vertical="center" wrapText="1"/>
    </xf>
    <xf numFmtId="165" fontId="4" fillId="7" borderId="35" xfId="0" applyNumberFormat="1" applyFont="1" applyFill="1" applyBorder="1" applyAlignment="1">
      <alignment horizontal="center" vertical="center" wrapText="1"/>
    </xf>
    <xf numFmtId="165" fontId="5" fillId="7" borderId="35" xfId="0" applyNumberFormat="1" applyFont="1" applyFill="1" applyBorder="1" applyAlignment="1">
      <alignment horizontal="center" vertical="center" wrapText="1"/>
    </xf>
    <xf numFmtId="165" fontId="4" fillId="5" borderId="52" xfId="0" applyNumberFormat="1" applyFont="1" applyFill="1" applyBorder="1" applyAlignment="1">
      <alignment horizontal="center" vertical="center" wrapText="1"/>
    </xf>
    <xf numFmtId="165" fontId="5" fillId="7" borderId="44" xfId="0" applyNumberFormat="1" applyFont="1" applyFill="1" applyBorder="1" applyAlignment="1">
      <alignment horizontal="center" vertical="center" wrapText="1"/>
    </xf>
    <xf numFmtId="165" fontId="4" fillId="5" borderId="34" xfId="0" applyNumberFormat="1" applyFont="1" applyFill="1" applyBorder="1" applyAlignment="1">
      <alignment horizontal="center" vertical="center" wrapText="1"/>
    </xf>
    <xf numFmtId="165" fontId="5" fillId="5" borderId="45" xfId="0" applyNumberFormat="1" applyFont="1" applyFill="1" applyBorder="1" applyAlignment="1">
      <alignment horizontal="center" vertical="center" wrapText="1"/>
    </xf>
    <xf numFmtId="165" fontId="4" fillId="7" borderId="45" xfId="0" applyNumberFormat="1" applyFont="1" applyFill="1" applyBorder="1" applyAlignment="1">
      <alignment horizontal="center" vertical="center" wrapText="1"/>
    </xf>
    <xf numFmtId="165" fontId="5" fillId="7" borderId="45" xfId="0" applyNumberFormat="1" applyFont="1" applyFill="1" applyBorder="1" applyAlignment="1">
      <alignment horizontal="center" vertical="center" wrapText="1"/>
    </xf>
    <xf numFmtId="165" fontId="4" fillId="5" borderId="45" xfId="0" applyNumberFormat="1" applyFont="1" applyFill="1" applyBorder="1" applyAlignment="1">
      <alignment horizontal="center" vertical="center" wrapText="1"/>
    </xf>
    <xf numFmtId="165" fontId="5" fillId="7" borderId="21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wrapText="1"/>
    </xf>
    <xf numFmtId="3" fontId="12" fillId="2" borderId="39" xfId="0" applyNumberFormat="1" applyFont="1" applyFill="1" applyBorder="1" applyAlignment="1">
      <alignment horizontal="center" wrapText="1"/>
    </xf>
    <xf numFmtId="2" fontId="12" fillId="12" borderId="40" xfId="0" applyNumberFormat="1" applyFont="1" applyFill="1" applyBorder="1" applyAlignment="1">
      <alignment horizontal="center" wrapText="1"/>
    </xf>
    <xf numFmtId="0" fontId="11" fillId="4" borderId="68" xfId="0" applyFont="1" applyFill="1" applyBorder="1" applyAlignment="1">
      <alignment horizontal="center" wrapText="1"/>
    </xf>
    <xf numFmtId="3" fontId="12" fillId="2" borderId="41" xfId="0" applyNumberFormat="1" applyFont="1" applyFill="1" applyBorder="1" applyAlignment="1">
      <alignment horizontal="center" wrapText="1"/>
    </xf>
    <xf numFmtId="2" fontId="12" fillId="12" borderId="43" xfId="0" applyNumberFormat="1" applyFont="1" applyFill="1" applyBorder="1" applyAlignment="1">
      <alignment horizontal="center" wrapText="1"/>
    </xf>
    <xf numFmtId="3" fontId="7" fillId="3" borderId="36" xfId="0" applyNumberFormat="1" applyFont="1" applyFill="1" applyBorder="1" applyAlignment="1">
      <alignment horizontal="center" wrapText="1"/>
    </xf>
    <xf numFmtId="3" fontId="7" fillId="3" borderId="39" xfId="0" applyNumberFormat="1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58" xfId="0" applyFont="1" applyFill="1" applyBorder="1" applyAlignment="1">
      <alignment horizontal="center" wrapText="1"/>
    </xf>
    <xf numFmtId="0" fontId="3" fillId="4" borderId="69" xfId="0" applyFont="1" applyFill="1" applyBorder="1" applyAlignment="1">
      <alignment horizontal="center" wrapText="1"/>
    </xf>
    <xf numFmtId="3" fontId="6" fillId="2" borderId="42" xfId="0" applyNumberFormat="1" applyFont="1" applyFill="1" applyBorder="1" applyAlignment="1">
      <alignment horizontal="center" wrapText="1"/>
    </xf>
    <xf numFmtId="0" fontId="16" fillId="6" borderId="35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7" fillId="6" borderId="42" xfId="0" applyFont="1" applyFill="1" applyBorder="1" applyAlignment="1">
      <alignment horizontal="center" vertical="center" wrapText="1"/>
    </xf>
    <xf numFmtId="165" fontId="4" fillId="8" borderId="77" xfId="0" applyNumberFormat="1" applyFont="1" applyFill="1" applyBorder="1" applyAlignment="1">
      <alignment horizontal="center" vertical="center" wrapText="1"/>
    </xf>
    <xf numFmtId="0" fontId="4" fillId="7" borderId="78" xfId="0" applyFont="1" applyFill="1" applyBorder="1" applyAlignment="1">
      <alignment horizontal="center" vertical="center" wrapText="1"/>
    </xf>
    <xf numFmtId="0" fontId="5" fillId="7" borderId="78" xfId="0" applyFont="1" applyFill="1" applyBorder="1" applyAlignment="1">
      <alignment horizontal="center" vertical="center" wrapText="1"/>
    </xf>
    <xf numFmtId="165" fontId="4" fillId="7" borderId="79" xfId="0" applyNumberFormat="1" applyFont="1" applyFill="1" applyBorder="1" applyAlignment="1">
      <alignment horizontal="center" vertical="center" wrapText="1"/>
    </xf>
    <xf numFmtId="165" fontId="5" fillId="7" borderId="78" xfId="0" applyNumberFormat="1" applyFont="1" applyFill="1" applyBorder="1" applyAlignment="1">
      <alignment horizontal="center" vertical="center" wrapText="1"/>
    </xf>
    <xf numFmtId="0" fontId="10" fillId="15" borderId="59" xfId="0" applyFont="1" applyFill="1" applyBorder="1" applyAlignment="1" applyProtection="1">
      <alignment horizontal="center" vertical="center" wrapText="1"/>
      <protection locked="0"/>
    </xf>
    <xf numFmtId="0" fontId="10" fillId="15" borderId="58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80" xfId="0" applyNumberFormat="1" applyFont="1" applyFill="1" applyBorder="1" applyAlignment="1">
      <alignment horizontal="center" vertical="center" wrapText="1"/>
    </xf>
    <xf numFmtId="165" fontId="5" fillId="7" borderId="81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59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65" xfId="0" applyFont="1" applyFill="1" applyBorder="1" applyAlignment="1" applyProtection="1">
      <alignment horizontal="center" vertical="center" wrapText="1"/>
    </xf>
    <xf numFmtId="0" fontId="3" fillId="4" borderId="62" xfId="0" applyFont="1" applyFill="1" applyBorder="1" applyAlignment="1" applyProtection="1">
      <alignment horizontal="center" vertical="center" wrapText="1"/>
    </xf>
    <xf numFmtId="0" fontId="3" fillId="4" borderId="66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6" fillId="11" borderId="33" xfId="0" applyFont="1" applyFill="1" applyBorder="1" applyAlignment="1" applyProtection="1">
      <alignment horizontal="center" vertical="center" wrapText="1"/>
    </xf>
    <xf numFmtId="0" fontId="6" fillId="11" borderId="55" xfId="0" applyFont="1" applyFill="1" applyBorder="1" applyAlignment="1" applyProtection="1">
      <alignment vertical="center" wrapText="1"/>
    </xf>
    <xf numFmtId="0" fontId="6" fillId="11" borderId="57" xfId="0" applyFont="1" applyFill="1" applyBorder="1" applyAlignment="1" applyProtection="1">
      <alignment vertical="center" wrapText="1"/>
    </xf>
    <xf numFmtId="0" fontId="3" fillId="4" borderId="55" xfId="0" applyFont="1" applyFill="1" applyBorder="1" applyAlignment="1" applyProtection="1">
      <alignment horizontal="center" vertical="center" wrapText="1"/>
    </xf>
    <xf numFmtId="0" fontId="3" fillId="4" borderId="32" xfId="0" applyFont="1" applyFill="1" applyBorder="1" applyAlignment="1" applyProtection="1">
      <alignment horizontal="left" vertical="center" wrapText="1"/>
    </xf>
    <xf numFmtId="0" fontId="6" fillId="13" borderId="54" xfId="0" applyFont="1" applyFill="1" applyBorder="1" applyAlignment="1" applyProtection="1">
      <alignment horizontal="center" vertical="center" wrapText="1"/>
    </xf>
    <xf numFmtId="166" fontId="6" fillId="13" borderId="37" xfId="0" applyNumberFormat="1" applyFont="1" applyFill="1" applyBorder="1" applyAlignment="1" applyProtection="1">
      <alignment horizontal="center" vertical="center" wrapText="1"/>
    </xf>
    <xf numFmtId="3" fontId="6" fillId="2" borderId="37" xfId="0" applyNumberFormat="1" applyFont="1" applyFill="1" applyBorder="1" applyAlignment="1" applyProtection="1">
      <alignment horizontal="center" vertical="center" wrapText="1"/>
    </xf>
    <xf numFmtId="46" fontId="6" fillId="12" borderId="53" xfId="0" applyNumberFormat="1" applyFont="1" applyFill="1" applyBorder="1" applyAlignment="1" applyProtection="1">
      <alignment horizontal="center" vertical="center" wrapText="1"/>
    </xf>
    <xf numFmtId="0" fontId="3" fillId="4" borderId="63" xfId="0" applyFont="1" applyFill="1" applyBorder="1" applyAlignment="1" applyProtection="1">
      <alignment horizontal="left" vertical="center" wrapText="1"/>
    </xf>
    <xf numFmtId="0" fontId="6" fillId="13" borderId="33" xfId="0" applyFont="1" applyFill="1" applyBorder="1" applyAlignment="1" applyProtection="1">
      <alignment horizontal="center" vertical="center" wrapText="1"/>
    </xf>
    <xf numFmtId="166" fontId="6" fillId="13" borderId="55" xfId="0" applyNumberFormat="1" applyFont="1" applyFill="1" applyBorder="1" applyAlignment="1" applyProtection="1">
      <alignment horizontal="center" vertical="center" wrapText="1"/>
    </xf>
    <xf numFmtId="3" fontId="6" fillId="2" borderId="55" xfId="0" applyNumberFormat="1" applyFont="1" applyFill="1" applyBorder="1" applyAlignment="1" applyProtection="1">
      <alignment horizontal="center" vertical="center" wrapText="1"/>
    </xf>
    <xf numFmtId="167" fontId="6" fillId="12" borderId="55" xfId="0" applyNumberFormat="1" applyFont="1" applyFill="1" applyBorder="1" applyAlignment="1" applyProtection="1">
      <alignment horizontal="center" vertical="center" wrapText="1"/>
    </xf>
    <xf numFmtId="3" fontId="6" fillId="10" borderId="55" xfId="0" applyNumberFormat="1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left" vertical="center" wrapText="1"/>
    </xf>
    <xf numFmtId="0" fontId="6" fillId="13" borderId="55" xfId="0" applyFont="1" applyFill="1" applyBorder="1" applyAlignment="1" applyProtection="1">
      <alignment horizontal="center" vertical="center" wrapText="1"/>
    </xf>
    <xf numFmtId="0" fontId="6" fillId="13" borderId="34" xfId="0" applyFont="1" applyFill="1" applyBorder="1" applyAlignment="1" applyProtection="1">
      <alignment horizontal="center" vertical="center" wrapText="1"/>
    </xf>
    <xf numFmtId="0" fontId="6" fillId="13" borderId="21" xfId="0" applyFont="1" applyFill="1" applyBorder="1" applyAlignment="1" applyProtection="1">
      <alignment horizontal="center" vertical="center" wrapText="1"/>
    </xf>
    <xf numFmtId="0" fontId="6" fillId="11" borderId="34" xfId="0" applyFont="1" applyFill="1" applyBorder="1" applyAlignment="1" applyProtection="1">
      <alignment horizontal="center" vertical="center" wrapText="1"/>
    </xf>
    <xf numFmtId="0" fontId="6" fillId="11" borderId="45" xfId="0" applyFont="1" applyFill="1" applyBorder="1" applyAlignment="1" applyProtection="1">
      <alignment vertical="center" wrapText="1"/>
    </xf>
    <xf numFmtId="0" fontId="6" fillId="11" borderId="56" xfId="0" applyFont="1" applyFill="1" applyBorder="1" applyAlignment="1" applyProtection="1">
      <alignment vertical="center" wrapText="1"/>
    </xf>
    <xf numFmtId="0" fontId="6" fillId="13" borderId="45" xfId="0" applyFont="1" applyFill="1" applyBorder="1" applyAlignment="1" applyProtection="1">
      <alignment horizontal="center" vertical="center" wrapText="1"/>
    </xf>
    <xf numFmtId="166" fontId="6" fillId="13" borderId="21" xfId="0" applyNumberFormat="1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6" fillId="13" borderId="52" xfId="0" applyFont="1" applyFill="1" applyBorder="1" applyAlignment="1" applyProtection="1">
      <alignment horizontal="center" vertical="center" wrapText="1"/>
    </xf>
    <xf numFmtId="166" fontId="6" fillId="13" borderId="35" xfId="0" applyNumberFormat="1" applyFont="1" applyFill="1" applyBorder="1" applyAlignment="1" applyProtection="1">
      <alignment horizontal="center" vertical="center" wrapText="1"/>
    </xf>
    <xf numFmtId="3" fontId="6" fillId="10" borderId="35" xfId="0" applyNumberFormat="1" applyFont="1" applyFill="1" applyBorder="1" applyAlignment="1" applyProtection="1">
      <alignment horizontal="center" vertical="center" wrapText="1"/>
    </xf>
    <xf numFmtId="167" fontId="6" fillId="12" borderId="35" xfId="0" applyNumberFormat="1" applyFont="1" applyFill="1" applyBorder="1" applyAlignment="1" applyProtection="1">
      <alignment horizontal="center" vertical="center" wrapText="1"/>
    </xf>
    <xf numFmtId="3" fontId="6" fillId="2" borderId="35" xfId="0" applyNumberFormat="1" applyFont="1" applyFill="1" applyBorder="1" applyAlignment="1" applyProtection="1">
      <alignment horizontal="center" vertical="center" wrapText="1"/>
    </xf>
    <xf numFmtId="0" fontId="3" fillId="4" borderId="67" xfId="0" applyFont="1" applyFill="1" applyBorder="1" applyAlignment="1" applyProtection="1">
      <alignment horizontal="left" vertical="center" wrapText="1"/>
    </xf>
    <xf numFmtId="0" fontId="6" fillId="13" borderId="71" xfId="0" applyFont="1" applyFill="1" applyBorder="1" applyAlignment="1" applyProtection="1">
      <alignment horizontal="center" vertical="center" wrapText="1"/>
    </xf>
    <xf numFmtId="0" fontId="6" fillId="13" borderId="42" xfId="0" applyFont="1" applyFill="1" applyBorder="1" applyAlignment="1" applyProtection="1">
      <alignment horizontal="center" vertical="center" wrapText="1"/>
    </xf>
    <xf numFmtId="3" fontId="6" fillId="10" borderId="42" xfId="0" applyNumberFormat="1" applyFont="1" applyFill="1" applyBorder="1" applyAlignment="1" applyProtection="1">
      <alignment horizontal="center" vertical="center" wrapText="1"/>
    </xf>
    <xf numFmtId="0" fontId="3" fillId="4" borderId="1" xfId="0" quotePrefix="1" applyFont="1" applyFill="1" applyBorder="1" applyAlignment="1" applyProtection="1">
      <alignment horizontal="center" vertical="center" wrapText="1"/>
    </xf>
    <xf numFmtId="0" fontId="3" fillId="4" borderId="82" xfId="0" applyFont="1" applyFill="1" applyBorder="1" applyAlignment="1" applyProtection="1">
      <alignment horizontal="center" vertical="center" wrapText="1"/>
    </xf>
    <xf numFmtId="0" fontId="7" fillId="11" borderId="3" xfId="0" applyFont="1" applyFill="1" applyBorder="1" applyAlignment="1" applyProtection="1">
      <alignment horizontal="center" vertical="center" wrapText="1"/>
    </xf>
    <xf numFmtId="0" fontId="7" fillId="11" borderId="31" xfId="0" applyFont="1" applyFill="1" applyBorder="1" applyAlignment="1" applyProtection="1">
      <alignment horizontal="center" vertical="center" wrapText="1"/>
    </xf>
    <xf numFmtId="0" fontId="3" fillId="4" borderId="54" xfId="0" quotePrefix="1" applyFont="1" applyFill="1" applyBorder="1" applyAlignment="1" applyProtection="1">
      <alignment horizontal="center" vertical="center" wrapText="1"/>
    </xf>
    <xf numFmtId="0" fontId="3" fillId="4" borderId="37" xfId="0" quotePrefix="1" applyFont="1" applyFill="1" applyBorder="1" applyAlignment="1" applyProtection="1">
      <alignment horizontal="center" vertical="center" wrapText="1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4" borderId="53" xfId="0" applyFont="1" applyFill="1" applyBorder="1" applyAlignment="1" applyProtection="1">
      <alignment horizontal="center" vertical="center" wrapText="1"/>
    </xf>
    <xf numFmtId="0" fontId="3" fillId="4" borderId="65" xfId="0" quotePrefix="1" applyFont="1" applyFill="1" applyBorder="1" applyAlignment="1" applyProtection="1">
      <alignment horizontal="center" vertical="center" wrapText="1"/>
    </xf>
    <xf numFmtId="0" fontId="3" fillId="4" borderId="62" xfId="0" quotePrefix="1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right" vertical="center" wrapText="1"/>
    </xf>
    <xf numFmtId="0" fontId="15" fillId="13" borderId="2" xfId="0" applyFont="1" applyFill="1" applyBorder="1" applyAlignment="1" applyProtection="1">
      <alignment horizontal="center" vertical="center" wrapText="1"/>
    </xf>
    <xf numFmtId="166" fontId="15" fillId="13" borderId="3" xfId="0" applyNumberFormat="1" applyFont="1" applyFill="1" applyBorder="1" applyAlignment="1" applyProtection="1">
      <alignment horizontal="center" vertical="center" wrapText="1"/>
    </xf>
    <xf numFmtId="3" fontId="15" fillId="10" borderId="3" xfId="0" applyNumberFormat="1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6" fillId="15" borderId="7" xfId="0" applyFont="1" applyFill="1" applyBorder="1" applyAlignment="1" applyProtection="1">
      <alignment horizontal="center" vertical="center" wrapText="1"/>
    </xf>
    <xf numFmtId="0" fontId="4" fillId="11" borderId="36" xfId="0" applyFont="1" applyFill="1" applyBorder="1" applyAlignment="1" applyProtection="1">
      <alignment horizontal="center" vertical="center" wrapText="1"/>
    </xf>
    <xf numFmtId="0" fontId="7" fillId="11" borderId="37" xfId="0" applyFont="1" applyFill="1" applyBorder="1" applyAlignment="1" applyProtection="1">
      <alignment horizontal="center" vertical="center" wrapText="1"/>
    </xf>
    <xf numFmtId="0" fontId="7" fillId="11" borderId="38" xfId="0" applyFont="1" applyFill="1" applyBorder="1" applyAlignment="1" applyProtection="1">
      <alignment horizontal="center" vertical="center" wrapText="1"/>
    </xf>
    <xf numFmtId="166" fontId="6" fillId="9" borderId="52" xfId="0" applyNumberFormat="1" applyFont="1" applyFill="1" applyBorder="1" applyAlignment="1" applyProtection="1">
      <alignment horizontal="center" vertical="center" wrapText="1"/>
    </xf>
    <xf numFmtId="165" fontId="6" fillId="9" borderId="35" xfId="0" applyNumberFormat="1" applyFont="1" applyFill="1" applyBorder="1" applyAlignment="1" applyProtection="1">
      <alignment horizontal="center" vertical="center" wrapText="1"/>
    </xf>
    <xf numFmtId="167" fontId="6" fillId="12" borderId="44" xfId="0" applyNumberFormat="1" applyFont="1" applyFill="1" applyBorder="1" applyAlignment="1" applyProtection="1">
      <alignment horizontal="center" vertical="center" wrapText="1"/>
    </xf>
    <xf numFmtId="0" fontId="3" fillId="4" borderId="76" xfId="0" applyFont="1" applyFill="1" applyBorder="1" applyAlignment="1" applyProtection="1">
      <alignment horizontal="center" vertical="center" wrapText="1"/>
    </xf>
    <xf numFmtId="166" fontId="6" fillId="9" borderId="33" xfId="0" applyNumberFormat="1" applyFont="1" applyFill="1" applyBorder="1" applyAlignment="1" applyProtection="1">
      <alignment horizontal="center" vertical="center" wrapText="1"/>
    </xf>
    <xf numFmtId="165" fontId="6" fillId="9" borderId="55" xfId="0" applyNumberFormat="1" applyFont="1" applyFill="1" applyBorder="1" applyAlignment="1" applyProtection="1">
      <alignment horizontal="center" vertical="center" wrapText="1"/>
    </xf>
    <xf numFmtId="167" fontId="6" fillId="12" borderId="20" xfId="0" applyNumberFormat="1" applyFont="1" applyFill="1" applyBorder="1" applyAlignment="1" applyProtection="1">
      <alignment horizontal="center" vertical="center" wrapText="1"/>
    </xf>
    <xf numFmtId="0" fontId="6" fillId="15" borderId="8" xfId="0" applyFont="1" applyFill="1" applyBorder="1" applyAlignment="1" applyProtection="1">
      <alignment horizontal="center" vertical="center" wrapText="1"/>
    </xf>
    <xf numFmtId="0" fontId="7" fillId="11" borderId="35" xfId="0" applyFont="1" applyFill="1" applyBorder="1" applyAlignment="1" applyProtection="1">
      <alignment horizontal="center" vertical="center" wrapText="1"/>
    </xf>
    <xf numFmtId="0" fontId="7" fillId="11" borderId="40" xfId="0" applyFont="1" applyFill="1" applyBorder="1" applyAlignment="1" applyProtection="1">
      <alignment horizontal="center" vertical="center" wrapText="1"/>
    </xf>
    <xf numFmtId="166" fontId="6" fillId="13" borderId="42" xfId="0" applyNumberFormat="1" applyFont="1" applyFill="1" applyBorder="1" applyAlignment="1" applyProtection="1">
      <alignment horizontal="center" vertical="center" wrapText="1"/>
    </xf>
    <xf numFmtId="3" fontId="6" fillId="2" borderId="42" xfId="0" applyNumberFormat="1" applyFont="1" applyFill="1" applyBorder="1" applyAlignment="1" applyProtection="1">
      <alignment horizontal="center" vertical="center" wrapText="1"/>
    </xf>
    <xf numFmtId="0" fontId="3" fillId="4" borderId="69" xfId="0" applyFont="1" applyFill="1" applyBorder="1" applyAlignment="1" applyProtection="1">
      <alignment horizontal="left" vertical="center" wrapText="1"/>
    </xf>
    <xf numFmtId="3" fontId="6" fillId="2" borderId="45" xfId="0" applyNumberFormat="1" applyFont="1" applyFill="1" applyBorder="1" applyAlignment="1" applyProtection="1">
      <alignment horizontal="center" vertical="center" wrapText="1"/>
    </xf>
    <xf numFmtId="167" fontId="6" fillId="12" borderId="45" xfId="0" applyNumberFormat="1" applyFont="1" applyFill="1" applyBorder="1" applyAlignment="1" applyProtection="1">
      <alignment horizontal="center" vertical="center" wrapText="1"/>
    </xf>
    <xf numFmtId="3" fontId="15" fillId="2" borderId="3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right" vertical="center" wrapText="1"/>
    </xf>
    <xf numFmtId="0" fontId="3" fillId="4" borderId="75" xfId="0" applyFont="1" applyFill="1" applyBorder="1" applyAlignment="1" applyProtection="1">
      <alignment horizontal="center" vertical="center" wrapText="1"/>
    </xf>
    <xf numFmtId="0" fontId="6" fillId="15" borderId="9" xfId="0" applyFont="1" applyFill="1" applyBorder="1" applyAlignment="1" applyProtection="1">
      <alignment horizontal="center" vertical="center" wrapText="1"/>
    </xf>
    <xf numFmtId="0" fontId="4" fillId="11" borderId="47" xfId="0" applyFont="1" applyFill="1" applyBorder="1" applyAlignment="1" applyProtection="1">
      <alignment horizontal="center" vertical="center" wrapText="1"/>
    </xf>
    <xf numFmtId="0" fontId="7" fillId="11" borderId="45" xfId="0" applyFont="1" applyFill="1" applyBorder="1" applyAlignment="1" applyProtection="1">
      <alignment horizontal="center" vertical="center" wrapText="1"/>
    </xf>
    <xf numFmtId="0" fontId="7" fillId="11" borderId="56" xfId="0" applyFont="1" applyFill="1" applyBorder="1" applyAlignment="1" applyProtection="1">
      <alignment horizontal="center" vertical="center" wrapText="1"/>
    </xf>
    <xf numFmtId="165" fontId="6" fillId="9" borderId="45" xfId="0" applyNumberFormat="1" applyFont="1" applyFill="1" applyBorder="1" applyAlignment="1" applyProtection="1">
      <alignment horizontal="center" vertical="center" wrapText="1"/>
    </xf>
    <xf numFmtId="167" fontId="6" fillId="12" borderId="21" xfId="0" applyNumberFormat="1" applyFont="1" applyFill="1" applyBorder="1" applyAlignment="1" applyProtection="1">
      <alignment horizontal="center" vertical="center" wrapText="1"/>
    </xf>
    <xf numFmtId="166" fontId="6" fillId="9" borderId="34" xfId="0" applyNumberFormat="1" applyFont="1" applyFill="1" applyBorder="1" applyAlignment="1" applyProtection="1">
      <alignment horizontal="center" vertical="center" wrapText="1"/>
    </xf>
    <xf numFmtId="3" fontId="6" fillId="10" borderId="45" xfId="0" applyNumberFormat="1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horizontal="center" vertical="center" wrapText="1"/>
    </xf>
    <xf numFmtId="3" fontId="7" fillId="3" borderId="55" xfId="0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167" fontId="6" fillId="12" borderId="4" xfId="0" applyNumberFormat="1" applyFont="1" applyFill="1" applyBorder="1" applyAlignment="1" applyProtection="1">
      <alignment horizontal="center" vertical="center" wrapText="1"/>
    </xf>
    <xf numFmtId="3" fontId="6" fillId="10" borderId="48" xfId="0" applyNumberFormat="1" applyFont="1" applyFill="1" applyBorder="1" applyAlignment="1" applyProtection="1">
      <alignment horizontal="center" vertical="center" wrapText="1"/>
    </xf>
    <xf numFmtId="167" fontId="6" fillId="12" borderId="58" xfId="0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left" vertical="center" wrapText="1"/>
    </xf>
    <xf numFmtId="0" fontId="6" fillId="13" borderId="39" xfId="0" applyFont="1" applyFill="1" applyBorder="1" applyAlignment="1" applyProtection="1">
      <alignment horizontal="center" vertical="center" wrapText="1"/>
    </xf>
    <xf numFmtId="3" fontId="7" fillId="3" borderId="35" xfId="0" applyNumberFormat="1" applyFont="1" applyFill="1" applyBorder="1" applyAlignment="1" applyProtection="1">
      <alignment horizontal="center" vertical="center" wrapText="1"/>
    </xf>
    <xf numFmtId="3" fontId="7" fillId="3" borderId="42" xfId="0" applyNumberFormat="1" applyFont="1" applyFill="1" applyBorder="1" applyAlignment="1" applyProtection="1">
      <alignment horizontal="center" vertical="center" wrapText="1"/>
    </xf>
    <xf numFmtId="3" fontId="3" fillId="3" borderId="3" xfId="0" applyNumberFormat="1" applyFont="1" applyFill="1" applyBorder="1" applyAlignment="1" applyProtection="1">
      <alignment horizontal="center" vertical="center" wrapText="1"/>
    </xf>
    <xf numFmtId="0" fontId="15" fillId="13" borderId="5" xfId="0" applyFont="1" applyFill="1" applyBorder="1" applyAlignment="1" applyProtection="1">
      <alignment horizontal="center" vertical="center" wrapText="1"/>
    </xf>
    <xf numFmtId="3" fontId="6" fillId="2" borderId="62" xfId="0" applyNumberFormat="1" applyFont="1" applyFill="1" applyBorder="1" applyAlignment="1" applyProtection="1">
      <alignment horizontal="center" vertical="center" wrapText="1"/>
    </xf>
    <xf numFmtId="167" fontId="6" fillId="12" borderId="66" xfId="0" applyNumberFormat="1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6" fillId="15" borderId="36" xfId="0" applyFont="1" applyFill="1" applyBorder="1" applyAlignment="1" applyProtection="1">
      <alignment horizontal="center" vertical="center" wrapText="1"/>
    </xf>
    <xf numFmtId="0" fontId="4" fillId="11" borderId="3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3" fontId="6" fillId="2" borderId="48" xfId="0" applyNumberFormat="1" applyFont="1" applyFill="1" applyBorder="1" applyAlignment="1" applyProtection="1">
      <alignment horizontal="center" vertical="center" wrapText="1"/>
    </xf>
    <xf numFmtId="0" fontId="3" fillId="4" borderId="29" xfId="0" quotePrefix="1" applyFont="1" applyFill="1" applyBorder="1" applyAlignment="1" applyProtection="1">
      <alignment horizontal="center" vertical="center" wrapText="1"/>
    </xf>
    <xf numFmtId="0" fontId="3" fillId="4" borderId="18" xfId="0" quotePrefix="1" applyFont="1" applyFill="1" applyBorder="1" applyAlignment="1" applyProtection="1">
      <alignment horizontal="center" vertical="center" wrapText="1"/>
    </xf>
    <xf numFmtId="3" fontId="6" fillId="10" borderId="3" xfId="0" applyNumberFormat="1" applyFont="1" applyFill="1" applyBorder="1" applyAlignment="1" applyProtection="1">
      <alignment horizontal="center" vertical="center" wrapText="1"/>
    </xf>
    <xf numFmtId="0" fontId="3" fillId="4" borderId="6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4" fillId="11" borderId="48" xfId="0" applyFont="1" applyFill="1" applyBorder="1" applyAlignment="1" applyProtection="1">
      <alignment horizontal="center" vertical="center" wrapText="1"/>
    </xf>
    <xf numFmtId="3" fontId="7" fillId="3" borderId="3" xfId="0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7" fillId="4" borderId="29" xfId="0" applyFont="1" applyFill="1" applyBorder="1" applyAlignment="1" applyProtection="1">
      <alignment horizontal="center" vertical="center" textRotation="90" wrapText="1"/>
    </xf>
    <xf numFmtId="0" fontId="7" fillId="4" borderId="18" xfId="0" applyFont="1" applyFill="1" applyBorder="1" applyAlignment="1" applyProtection="1">
      <alignment horizontal="center" vertical="center" textRotation="90" wrapText="1"/>
    </xf>
    <xf numFmtId="0" fontId="7" fillId="4" borderId="19" xfId="0" applyFont="1" applyFill="1" applyBorder="1" applyAlignment="1" applyProtection="1">
      <alignment horizontal="center" vertical="center" textRotation="90" wrapText="1"/>
    </xf>
    <xf numFmtId="0" fontId="6" fillId="11" borderId="1" xfId="0" applyFont="1" applyFill="1" applyBorder="1" applyAlignment="1" applyProtection="1">
      <alignment horizontal="center" vertical="center" wrapText="1"/>
    </xf>
    <xf numFmtId="0" fontId="6" fillId="11" borderId="23" xfId="0" applyFont="1" applyFill="1" applyBorder="1" applyAlignment="1" applyProtection="1">
      <alignment horizontal="center" vertical="center" wrapText="1"/>
    </xf>
    <xf numFmtId="0" fontId="3" fillId="4" borderId="69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6" fillId="15" borderId="2" xfId="0" applyFont="1" applyFill="1" applyBorder="1" applyAlignment="1" applyProtection="1">
      <alignment horizontal="center" vertical="center" wrapText="1"/>
    </xf>
    <xf numFmtId="0" fontId="6" fillId="15" borderId="3" xfId="0" applyFont="1" applyFill="1" applyBorder="1" applyAlignment="1" applyProtection="1">
      <alignment horizontal="center" vertical="center" wrapText="1"/>
    </xf>
    <xf numFmtId="0" fontId="6" fillId="15" borderId="4" xfId="0" applyFont="1" applyFill="1" applyBorder="1" applyAlignment="1" applyProtection="1">
      <alignment horizontal="center" vertical="center" wrapText="1"/>
    </xf>
    <xf numFmtId="0" fontId="40" fillId="11" borderId="83" xfId="0" applyFont="1" applyFill="1" applyBorder="1" applyAlignment="1" applyProtection="1">
      <alignment horizontal="center" vertical="center" wrapText="1"/>
    </xf>
    <xf numFmtId="0" fontId="40" fillId="11" borderId="11" xfId="0" applyFont="1" applyFill="1" applyBorder="1" applyAlignment="1" applyProtection="1">
      <alignment horizontal="center" vertical="center" wrapText="1"/>
    </xf>
    <xf numFmtId="0" fontId="7" fillId="4" borderId="29" xfId="0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7" fillId="11" borderId="1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11" borderId="0" xfId="0" applyFont="1" applyFill="1" applyBorder="1" applyAlignment="1" applyProtection="1">
      <alignment horizontal="center" vertical="center" wrapText="1"/>
    </xf>
    <xf numFmtId="0" fontId="4" fillId="13" borderId="2" xfId="0" applyFont="1" applyFill="1" applyBorder="1" applyAlignment="1" applyProtection="1">
      <alignment horizontal="center" vertical="center" wrapText="1"/>
    </xf>
    <xf numFmtId="0" fontId="4" fillId="13" borderId="4" xfId="0" applyFont="1" applyFill="1" applyBorder="1" applyAlignment="1" applyProtection="1">
      <alignment horizontal="center" vertical="center" wrapText="1"/>
    </xf>
    <xf numFmtId="0" fontId="4" fillId="13" borderId="3" xfId="0" applyFont="1" applyFill="1" applyBorder="1" applyAlignment="1" applyProtection="1">
      <alignment horizontal="center" vertical="center" wrapText="1"/>
    </xf>
    <xf numFmtId="0" fontId="0" fillId="14" borderId="0" xfId="0" applyFill="1" applyAlignment="1" applyProtection="1">
      <alignment vertical="center" wrapText="1"/>
    </xf>
    <xf numFmtId="0" fontId="8" fillId="14" borderId="1" xfId="0" quotePrefix="1" applyFont="1" applyFill="1" applyBorder="1" applyAlignment="1" applyProtection="1">
      <alignment horizontal="center" vertical="center" wrapText="1"/>
    </xf>
    <xf numFmtId="0" fontId="0" fillId="14" borderId="30" xfId="0" applyFill="1" applyBorder="1" applyAlignment="1" applyProtection="1">
      <alignment horizontal="center" vertical="center" wrapText="1"/>
    </xf>
    <xf numFmtId="0" fontId="0" fillId="14" borderId="0" xfId="0" applyFill="1" applyAlignment="1" applyProtection="1">
      <alignment horizontal="center" vertical="center" wrapText="1"/>
    </xf>
    <xf numFmtId="0" fontId="0" fillId="14" borderId="8" xfId="0" applyFill="1" applyBorder="1" applyAlignment="1" applyProtection="1">
      <alignment horizontal="center" vertical="center" wrapText="1"/>
    </xf>
    <xf numFmtId="0" fontId="0" fillId="14" borderId="0" xfId="0" applyFill="1" applyAlignment="1" applyProtection="1">
      <alignment horizontal="right" vertical="center" wrapText="1"/>
    </xf>
    <xf numFmtId="0" fontId="0" fillId="14" borderId="0" xfId="0" applyFill="1" applyAlignment="1" applyProtection="1">
      <alignment horizontal="left" vertical="center" wrapText="1"/>
    </xf>
    <xf numFmtId="0" fontId="0" fillId="14" borderId="9" xfId="0" applyFill="1" applyBorder="1" applyAlignment="1" applyProtection="1">
      <alignment horizontal="center" vertical="center" wrapText="1"/>
    </xf>
    <xf numFmtId="0" fontId="6" fillId="14" borderId="0" xfId="0" applyFont="1" applyFill="1" applyAlignment="1" applyProtection="1">
      <alignment horizontal="center" vertical="center" wrapText="1"/>
    </xf>
    <xf numFmtId="0" fontId="19" fillId="14" borderId="0" xfId="0" applyFont="1" applyFill="1" applyAlignment="1" applyProtection="1">
      <alignment vertical="center" wrapText="1"/>
    </xf>
    <xf numFmtId="3" fontId="19" fillId="14" borderId="0" xfId="0" applyNumberFormat="1" applyFont="1" applyFill="1" applyAlignment="1" applyProtection="1">
      <alignment vertical="center" wrapText="1"/>
    </xf>
    <xf numFmtId="0" fontId="6" fillId="14" borderId="0" xfId="0" applyFont="1" applyFill="1" applyAlignment="1" applyProtection="1">
      <alignment vertical="center" wrapText="1"/>
    </xf>
    <xf numFmtId="177" fontId="0" fillId="14" borderId="0" xfId="0" applyNumberFormat="1" applyFill="1" applyAlignment="1" applyProtection="1">
      <alignment vertical="center" wrapText="1"/>
    </xf>
    <xf numFmtId="46" fontId="0" fillId="14" borderId="0" xfId="0" applyNumberFormat="1" applyFill="1" applyAlignment="1" applyProtection="1">
      <alignment vertical="center" wrapText="1"/>
    </xf>
    <xf numFmtId="176" fontId="0" fillId="14" borderId="0" xfId="0" applyNumberFormat="1" applyFill="1" applyAlignment="1" applyProtection="1">
      <alignment vertical="center" wrapText="1"/>
    </xf>
    <xf numFmtId="175" fontId="0" fillId="14" borderId="0" xfId="0" applyNumberFormat="1" applyFill="1" applyAlignment="1" applyProtection="1">
      <alignment vertical="center" wrapText="1"/>
    </xf>
    <xf numFmtId="0" fontId="6" fillId="14" borderId="0" xfId="0" applyFont="1" applyFill="1" applyAlignment="1">
      <alignment horizontal="center" vertical="center"/>
    </xf>
    <xf numFmtId="0" fontId="6" fillId="9" borderId="35" xfId="0" quotePrefix="1" applyFont="1" applyFill="1" applyBorder="1" applyAlignment="1">
      <alignment horizontal="left" vertical="center"/>
    </xf>
    <xf numFmtId="0" fontId="6" fillId="9" borderId="35" xfId="0" quotePrefix="1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4" fillId="14" borderId="0" xfId="0" applyFont="1" applyFill="1" applyAlignment="1">
      <alignment horizontal="center" vertical="center" wrapText="1"/>
    </xf>
    <xf numFmtId="0" fontId="6" fillId="14" borderId="0" xfId="0" applyFont="1" applyFill="1"/>
    <xf numFmtId="0" fontId="6" fillId="14" borderId="0" xfId="0" applyFont="1" applyFill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165" fontId="4" fillId="6" borderId="54" xfId="0" applyNumberFormat="1" applyFont="1" applyFill="1" applyBorder="1" applyAlignment="1">
      <alignment horizontal="center" vertical="center" wrapText="1"/>
    </xf>
    <xf numFmtId="165" fontId="5" fillId="6" borderId="37" xfId="0" applyNumberFormat="1" applyFont="1" applyFill="1" applyBorder="1" applyAlignment="1">
      <alignment horizontal="center" vertical="center" wrapText="1"/>
    </xf>
    <xf numFmtId="165" fontId="4" fillId="6" borderId="37" xfId="0" applyNumberFormat="1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165" fontId="4" fillId="8" borderId="37" xfId="0" applyNumberFormat="1" applyFont="1" applyFill="1" applyBorder="1" applyAlignment="1">
      <alignment horizontal="center" vertical="center" wrapText="1"/>
    </xf>
    <xf numFmtId="165" fontId="5" fillId="8" borderId="37" xfId="0" applyNumberFormat="1" applyFont="1" applyFill="1" applyBorder="1" applyAlignment="1">
      <alignment horizontal="center" vertical="center" wrapText="1"/>
    </xf>
    <xf numFmtId="165" fontId="5" fillId="8" borderId="53" xfId="0" applyNumberFormat="1" applyFont="1" applyFill="1" applyBorder="1" applyAlignment="1">
      <alignment horizontal="center" vertical="center" wrapText="1"/>
    </xf>
    <xf numFmtId="0" fontId="6" fillId="14" borderId="0" xfId="0" applyFont="1" applyFill="1" applyAlignment="1">
      <alignment vertical="center" wrapText="1"/>
    </xf>
    <xf numFmtId="165" fontId="4" fillId="6" borderId="36" xfId="0" applyNumberFormat="1" applyFont="1" applyFill="1" applyBorder="1" applyAlignment="1">
      <alignment horizontal="center" vertical="center" wrapText="1"/>
    </xf>
    <xf numFmtId="165" fontId="4" fillId="8" borderId="36" xfId="0" applyNumberFormat="1" applyFont="1" applyFill="1" applyBorder="1" applyAlignment="1">
      <alignment horizontal="center" vertical="center" wrapText="1"/>
    </xf>
    <xf numFmtId="165" fontId="5" fillId="8" borderId="38" xfId="0" applyNumberFormat="1" applyFont="1" applyFill="1" applyBorder="1" applyAlignment="1">
      <alignment horizontal="center" vertical="center" wrapText="1"/>
    </xf>
    <xf numFmtId="2" fontId="6" fillId="14" borderId="43" xfId="0" applyNumberFormat="1" applyFont="1" applyFill="1" applyBorder="1" applyAlignment="1">
      <alignment horizontal="center" wrapText="1"/>
    </xf>
    <xf numFmtId="0" fontId="0" fillId="14" borderId="0" xfId="0" applyFill="1" applyAlignment="1">
      <alignment wrapText="1"/>
    </xf>
    <xf numFmtId="0" fontId="7" fillId="4" borderId="83" xfId="0" applyFont="1" applyFill="1" applyBorder="1" applyAlignment="1">
      <alignment horizontal="center" wrapText="1"/>
    </xf>
    <xf numFmtId="3" fontId="6" fillId="10" borderId="41" xfId="0" applyNumberFormat="1" applyFont="1" applyFill="1" applyBorder="1" applyAlignment="1">
      <alignment horizontal="center" wrapText="1"/>
    </xf>
    <xf numFmtId="2" fontId="6" fillId="4" borderId="38" xfId="0" applyNumberFormat="1" applyFont="1" applyFill="1" applyBorder="1" applyAlignment="1">
      <alignment horizontal="center" wrapText="1"/>
    </xf>
    <xf numFmtId="2" fontId="6" fillId="4" borderId="40" xfId="0" applyNumberFormat="1" applyFont="1" applyFill="1" applyBorder="1" applyAlignment="1">
      <alignment horizontal="center" wrapText="1"/>
    </xf>
    <xf numFmtId="0" fontId="4" fillId="9" borderId="54" xfId="0" applyFont="1" applyFill="1" applyBorder="1" applyAlignment="1" applyProtection="1">
      <alignment horizontal="center" vertical="center" wrapText="1"/>
    </xf>
    <xf numFmtId="0" fontId="4" fillId="9" borderId="37" xfId="0" applyFont="1" applyFill="1" applyBorder="1" applyAlignment="1" applyProtection="1">
      <alignment horizontal="center" vertical="center" wrapText="1"/>
    </xf>
    <xf numFmtId="0" fontId="4" fillId="9" borderId="53" xfId="0" applyFont="1" applyFill="1" applyBorder="1" applyAlignment="1" applyProtection="1">
      <alignment horizontal="center" vertical="center" wrapText="1"/>
    </xf>
    <xf numFmtId="0" fontId="4" fillId="9" borderId="52" xfId="0" applyFont="1" applyFill="1" applyBorder="1" applyAlignment="1" applyProtection="1">
      <alignment horizontal="center" vertical="center" wrapText="1"/>
    </xf>
    <xf numFmtId="0" fontId="4" fillId="9" borderId="35" xfId="0" applyFont="1" applyFill="1" applyBorder="1" applyAlignment="1" applyProtection="1">
      <alignment horizontal="center" vertical="center" wrapText="1"/>
    </xf>
    <xf numFmtId="0" fontId="4" fillId="9" borderId="44" xfId="0" applyFont="1" applyFill="1" applyBorder="1" applyAlignment="1" applyProtection="1">
      <alignment horizontal="center" vertical="center" wrapText="1"/>
    </xf>
    <xf numFmtId="0" fontId="4" fillId="9" borderId="71" xfId="0" applyFont="1" applyFill="1" applyBorder="1" applyAlignment="1" applyProtection="1">
      <alignment horizontal="center" vertical="center" wrapText="1"/>
    </xf>
    <xf numFmtId="0" fontId="4" fillId="9" borderId="42" xfId="0" applyFont="1" applyFill="1" applyBorder="1" applyAlignment="1" applyProtection="1">
      <alignment horizontal="center" vertical="center" wrapText="1"/>
    </xf>
    <xf numFmtId="0" fontId="4" fillId="9" borderId="72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</xf>
    <xf numFmtId="0" fontId="4" fillId="9" borderId="3" xfId="0" applyFont="1" applyFill="1" applyBorder="1" applyAlignment="1" applyProtection="1">
      <alignment horizontal="center" vertical="center" wrapText="1"/>
    </xf>
    <xf numFmtId="0" fontId="4" fillId="9" borderId="4" xfId="0" applyFont="1" applyFill="1" applyBorder="1" applyAlignment="1" applyProtection="1">
      <alignment horizontal="center" vertical="center" wrapText="1"/>
    </xf>
    <xf numFmtId="0" fontId="4" fillId="11" borderId="23" xfId="0" applyFont="1" applyFill="1" applyBorder="1" applyAlignment="1" applyProtection="1">
      <alignment horizontal="center" vertical="center" wrapText="1"/>
    </xf>
    <xf numFmtId="0" fontId="4" fillId="11" borderId="27" xfId="0" applyFont="1" applyFill="1" applyBorder="1" applyAlignment="1" applyProtection="1">
      <alignment horizontal="center" vertical="center" wrapText="1"/>
    </xf>
    <xf numFmtId="0" fontId="4" fillId="11" borderId="28" xfId="0" applyFont="1" applyFill="1" applyBorder="1" applyAlignment="1" applyProtection="1">
      <alignment horizontal="center" vertical="center" wrapText="1"/>
    </xf>
    <xf numFmtId="0" fontId="4" fillId="11" borderId="67" xfId="0" applyFont="1" applyFill="1" applyBorder="1" applyAlignment="1" applyProtection="1">
      <alignment horizontal="center" vertical="center" wrapText="1"/>
    </xf>
    <xf numFmtId="0" fontId="3" fillId="4" borderId="83" xfId="0" applyFont="1" applyFill="1" applyBorder="1" applyAlignment="1" applyProtection="1">
      <alignment horizontal="center" vertical="center" wrapText="1"/>
    </xf>
    <xf numFmtId="167" fontId="6" fillId="12" borderId="42" xfId="0" applyNumberFormat="1" applyFont="1" applyFill="1" applyBorder="1" applyAlignment="1" applyProtection="1">
      <alignment horizontal="center" vertical="center" wrapText="1"/>
    </xf>
    <xf numFmtId="167" fontId="15" fillId="12" borderId="3" xfId="0" applyNumberFormat="1" applyFont="1" applyFill="1" applyBorder="1" applyAlignment="1" applyProtection="1">
      <alignment horizontal="center" vertical="center" wrapText="1"/>
    </xf>
    <xf numFmtId="167" fontId="6" fillId="12" borderId="37" xfId="0" applyNumberFormat="1" applyFont="1" applyFill="1" applyBorder="1" applyAlignment="1" applyProtection="1">
      <alignment horizontal="center" vertical="center" wrapText="1"/>
    </xf>
    <xf numFmtId="3" fontId="15" fillId="19" borderId="3" xfId="0" applyNumberFormat="1" applyFont="1" applyFill="1" applyBorder="1" applyAlignment="1" applyProtection="1">
      <alignment horizontal="center" vertical="center" wrapText="1"/>
    </xf>
    <xf numFmtId="0" fontId="3" fillId="4" borderId="68" xfId="0" applyFont="1" applyFill="1" applyBorder="1" applyAlignment="1" applyProtection="1">
      <alignment horizontal="left" vertical="center" wrapText="1"/>
    </xf>
    <xf numFmtId="0" fontId="6" fillId="13" borderId="41" xfId="0" applyFont="1" applyFill="1" applyBorder="1" applyAlignment="1" applyProtection="1">
      <alignment horizontal="center" vertical="center" wrapText="1"/>
    </xf>
    <xf numFmtId="178" fontId="0" fillId="14" borderId="0" xfId="0" applyNumberFormat="1" applyFill="1" applyAlignment="1" applyProtection="1">
      <alignment vertical="center" wrapText="1"/>
    </xf>
    <xf numFmtId="0" fontId="31" fillId="4" borderId="29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6" fillId="9" borderId="55" xfId="0" quotePrefix="1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/>
    </xf>
    <xf numFmtId="0" fontId="38" fillId="18" borderId="44" xfId="9" quotePrefix="1" applyFont="1" applyFill="1" applyBorder="1" applyAlignment="1">
      <alignment horizontal="center" vertical="center"/>
    </xf>
    <xf numFmtId="0" fontId="38" fillId="18" borderId="44" xfId="9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6" fillId="9" borderId="45" xfId="0" quotePrefix="1" applyFont="1" applyFill="1" applyBorder="1" applyAlignment="1">
      <alignment horizontal="left" vertical="center"/>
    </xf>
    <xf numFmtId="0" fontId="38" fillId="18" borderId="21" xfId="9" applyFont="1" applyFill="1" applyBorder="1" applyAlignment="1">
      <alignment horizontal="center" vertical="center"/>
    </xf>
    <xf numFmtId="0" fontId="6" fillId="15" borderId="52" xfId="0" applyFont="1" applyFill="1" applyBorder="1" applyAlignment="1" applyProtection="1">
      <alignment horizontal="center" vertical="center" wrapText="1"/>
      <protection locked="0"/>
    </xf>
    <xf numFmtId="0" fontId="6" fillId="15" borderId="35" xfId="0" applyFont="1" applyFill="1" applyBorder="1" applyAlignment="1" applyProtection="1">
      <alignment horizontal="center" vertical="center" wrapText="1"/>
      <protection locked="0"/>
    </xf>
    <xf numFmtId="0" fontId="6" fillId="15" borderId="44" xfId="0" applyFont="1" applyFill="1" applyBorder="1" applyAlignment="1" applyProtection="1">
      <alignment horizontal="center" vertical="center" wrapText="1"/>
      <protection locked="0"/>
    </xf>
    <xf numFmtId="0" fontId="6" fillId="15" borderId="71" xfId="0" applyFont="1" applyFill="1" applyBorder="1" applyAlignment="1" applyProtection="1">
      <alignment horizontal="center" vertical="center" wrapText="1"/>
      <protection locked="0"/>
    </xf>
    <xf numFmtId="0" fontId="6" fillId="15" borderId="42" xfId="0" applyFont="1" applyFill="1" applyBorder="1" applyAlignment="1" applyProtection="1">
      <alignment horizontal="center" vertical="center" wrapText="1"/>
      <protection locked="0"/>
    </xf>
    <xf numFmtId="0" fontId="6" fillId="15" borderId="72" xfId="0" applyFont="1" applyFill="1" applyBorder="1" applyAlignment="1" applyProtection="1">
      <alignment horizontal="center" vertical="center" wrapText="1"/>
      <protection locked="0"/>
    </xf>
    <xf numFmtId="0" fontId="6" fillId="15" borderId="54" xfId="0" applyFont="1" applyFill="1" applyBorder="1" applyAlignment="1" applyProtection="1">
      <alignment horizontal="center" vertical="center" wrapText="1"/>
      <protection locked="0"/>
    </xf>
    <xf numFmtId="0" fontId="6" fillId="15" borderId="37" xfId="0" applyFont="1" applyFill="1" applyBorder="1" applyAlignment="1" applyProtection="1">
      <alignment horizontal="center" vertical="center" wrapText="1"/>
      <protection locked="0"/>
    </xf>
    <xf numFmtId="0" fontId="6" fillId="15" borderId="53" xfId="0" applyFont="1" applyFill="1" applyBorder="1" applyAlignment="1" applyProtection="1">
      <alignment horizontal="center" vertical="center" wrapText="1"/>
      <protection locked="0"/>
    </xf>
    <xf numFmtId="0" fontId="6" fillId="11" borderId="7" xfId="0" applyFont="1" applyFill="1" applyBorder="1" applyAlignment="1" applyProtection="1">
      <alignment horizontal="center" vertical="center" wrapText="1"/>
      <protection locked="0"/>
    </xf>
    <xf numFmtId="0" fontId="6" fillId="11" borderId="63" xfId="0" applyFont="1" applyFill="1" applyBorder="1" applyAlignment="1" applyProtection="1">
      <alignment horizontal="center" vertical="center" wrapText="1"/>
      <protection locked="0"/>
    </xf>
    <xf numFmtId="0" fontId="6" fillId="11" borderId="8" xfId="0" applyFont="1" applyFill="1" applyBorder="1" applyAlignment="1" applyProtection="1">
      <alignment horizontal="center" vertical="center" wrapText="1"/>
      <protection locked="0"/>
    </xf>
    <xf numFmtId="0" fontId="6" fillId="11" borderId="28" xfId="0" applyFont="1" applyFill="1" applyBorder="1" applyAlignment="1" applyProtection="1">
      <alignment horizontal="center" vertical="center" wrapText="1"/>
      <protection locked="0"/>
    </xf>
    <xf numFmtId="0" fontId="6" fillId="11" borderId="68" xfId="0" applyFont="1" applyFill="1" applyBorder="1" applyAlignment="1" applyProtection="1">
      <alignment horizontal="center" vertical="center" wrapText="1"/>
      <protection locked="0"/>
    </xf>
    <xf numFmtId="0" fontId="6" fillId="11" borderId="67" xfId="0" applyFont="1" applyFill="1" applyBorder="1" applyAlignment="1" applyProtection="1">
      <alignment horizontal="center" vertical="center" wrapText="1"/>
      <protection locked="0"/>
    </xf>
    <xf numFmtId="0" fontId="6" fillId="18" borderId="0" xfId="0" quotePrefix="1" applyFont="1" applyFill="1" applyAlignment="1">
      <alignment horizontal="center" vertical="center"/>
    </xf>
    <xf numFmtId="0" fontId="6" fillId="14" borderId="0" xfId="0" quotePrefix="1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9" borderId="3" xfId="0" quotePrefix="1" applyFont="1" applyFill="1" applyBorder="1" applyAlignment="1">
      <alignment horizontal="left" vertical="center"/>
    </xf>
    <xf numFmtId="164" fontId="2" fillId="4" borderId="22" xfId="0" applyNumberFormat="1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vertical="center" wrapText="1"/>
    </xf>
    <xf numFmtId="0" fontId="9" fillId="4" borderId="15" xfId="0" applyFont="1" applyFill="1" applyBorder="1" applyAlignment="1" applyProtection="1">
      <alignment vertical="center" wrapText="1"/>
    </xf>
    <xf numFmtId="0" fontId="9" fillId="4" borderId="16" xfId="0" applyFont="1" applyFill="1" applyBorder="1" applyAlignment="1" applyProtection="1">
      <alignment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4" fillId="4" borderId="15" xfId="0" applyFont="1" applyFill="1" applyBorder="1" applyAlignment="1" applyProtection="1">
      <alignment horizontal="center" vertical="center" wrapText="1"/>
    </xf>
    <xf numFmtId="0" fontId="14" fillId="4" borderId="16" xfId="0" applyFont="1" applyFill="1" applyBorder="1" applyAlignment="1" applyProtection="1">
      <alignment horizontal="center" vertical="center" wrapText="1"/>
    </xf>
    <xf numFmtId="0" fontId="6" fillId="14" borderId="22" xfId="0" applyFont="1" applyFill="1" applyBorder="1" applyAlignment="1" applyProtection="1">
      <alignment horizontal="center" vertical="center" wrapText="1"/>
    </xf>
    <xf numFmtId="0" fontId="6" fillId="14" borderId="23" xfId="0" applyFont="1" applyFill="1" applyBorder="1" applyAlignment="1" applyProtection="1">
      <alignment vertical="center" wrapText="1"/>
    </xf>
    <xf numFmtId="0" fontId="6" fillId="14" borderId="15" xfId="0" applyFont="1" applyFill="1" applyBorder="1" applyAlignment="1" applyProtection="1">
      <alignment vertical="center" wrapText="1"/>
    </xf>
    <xf numFmtId="0" fontId="6" fillId="14" borderId="16" xfId="0" applyFont="1" applyFill="1" applyBorder="1" applyAlignment="1" applyProtection="1">
      <alignment vertical="center" wrapText="1"/>
    </xf>
    <xf numFmtId="0" fontId="6" fillId="14" borderId="24" xfId="0" applyFont="1" applyFill="1" applyBorder="1" applyAlignment="1" applyProtection="1">
      <alignment vertical="center" wrapText="1"/>
    </xf>
    <xf numFmtId="171" fontId="20" fillId="12" borderId="70" xfId="0" applyNumberFormat="1" applyFont="1" applyFill="1" applyBorder="1" applyAlignment="1" applyProtection="1">
      <alignment horizontal="center" vertical="center" wrapText="1"/>
    </xf>
    <xf numFmtId="171" fontId="4" fillId="12" borderId="11" xfId="0" applyNumberFormat="1" applyFont="1" applyFill="1" applyBorder="1" applyAlignment="1" applyProtection="1">
      <alignment horizontal="center" vertical="center" wrapText="1"/>
    </xf>
    <xf numFmtId="171" fontId="4" fillId="12" borderId="12" xfId="0" applyNumberFormat="1" applyFont="1" applyFill="1" applyBorder="1" applyAlignment="1" applyProtection="1">
      <alignment horizontal="center" vertical="center" wrapText="1"/>
    </xf>
    <xf numFmtId="171" fontId="10" fillId="12" borderId="49" xfId="0" applyNumberFormat="1" applyFont="1" applyFill="1" applyBorder="1" applyAlignment="1" applyProtection="1">
      <alignment horizontal="center" vertical="center" wrapText="1"/>
    </xf>
    <xf numFmtId="171" fontId="10" fillId="12" borderId="15" xfId="0" applyNumberFormat="1" applyFont="1" applyFill="1" applyBorder="1" applyAlignment="1" applyProtection="1">
      <alignment horizontal="center" vertical="center" wrapText="1"/>
    </xf>
    <xf numFmtId="171" fontId="10" fillId="12" borderId="16" xfId="0" applyNumberFormat="1" applyFont="1" applyFill="1" applyBorder="1" applyAlignment="1" applyProtection="1">
      <alignment horizontal="center" vertical="center" wrapText="1"/>
    </xf>
    <xf numFmtId="164" fontId="13" fillId="10" borderId="22" xfId="0" applyNumberFormat="1" applyFont="1" applyFill="1" applyBorder="1" applyAlignment="1" applyProtection="1">
      <alignment horizontal="center" vertical="center" wrapText="1"/>
    </xf>
    <xf numFmtId="0" fontId="14" fillId="10" borderId="23" xfId="0" applyFont="1" applyFill="1" applyBorder="1" applyAlignment="1" applyProtection="1">
      <alignment vertical="center" wrapText="1"/>
    </xf>
    <xf numFmtId="0" fontId="14" fillId="10" borderId="24" xfId="0" applyFont="1" applyFill="1" applyBorder="1" applyAlignment="1" applyProtection="1">
      <alignment vertical="center" wrapText="1"/>
    </xf>
    <xf numFmtId="164" fontId="13" fillId="10" borderId="23" xfId="0" applyNumberFormat="1" applyFont="1" applyFill="1" applyBorder="1" applyAlignment="1" applyProtection="1">
      <alignment horizontal="center" vertical="center" wrapText="1"/>
    </xf>
    <xf numFmtId="164" fontId="13" fillId="10" borderId="24" xfId="0" applyNumberFormat="1" applyFont="1" applyFill="1" applyBorder="1" applyAlignment="1" applyProtection="1">
      <alignment horizontal="center" vertical="center" wrapText="1"/>
    </xf>
    <xf numFmtId="164" fontId="2" fillId="4" borderId="23" xfId="0" applyNumberFormat="1" applyFont="1" applyFill="1" applyBorder="1" applyAlignment="1" applyProtection="1">
      <alignment horizontal="center" vertical="center" wrapText="1"/>
    </xf>
    <xf numFmtId="164" fontId="2" fillId="4" borderId="24" xfId="0" applyNumberFormat="1" applyFont="1" applyFill="1" applyBorder="1" applyAlignment="1" applyProtection="1">
      <alignment horizontal="center" vertical="center" wrapText="1"/>
    </xf>
    <xf numFmtId="164" fontId="13" fillId="2" borderId="22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0" fillId="2" borderId="23" xfId="0" applyFill="1" applyBorder="1" applyAlignment="1" applyProtection="1">
      <alignment vertical="center" wrapText="1"/>
    </xf>
    <xf numFmtId="0" fontId="0" fillId="2" borderId="24" xfId="0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9" fillId="4" borderId="24" xfId="0" applyFont="1" applyFill="1" applyBorder="1" applyAlignment="1" applyProtection="1">
      <alignment vertical="center" wrapText="1"/>
    </xf>
    <xf numFmtId="164" fontId="13" fillId="3" borderId="22" xfId="0" applyNumberFormat="1" applyFont="1" applyFill="1" applyBorder="1" applyAlignment="1" applyProtection="1">
      <alignment horizontal="center" vertical="center" wrapText="1"/>
    </xf>
    <xf numFmtId="164" fontId="13" fillId="3" borderId="23" xfId="0" applyNumberFormat="1" applyFont="1" applyFill="1" applyBorder="1" applyAlignment="1" applyProtection="1">
      <alignment horizontal="center" vertical="center" wrapText="1"/>
    </xf>
    <xf numFmtId="164" fontId="13" fillId="3" borderId="24" xfId="0" applyNumberFormat="1" applyFont="1" applyFill="1" applyBorder="1" applyAlignment="1" applyProtection="1">
      <alignment horizontal="center" vertical="center" wrapText="1"/>
    </xf>
    <xf numFmtId="0" fontId="0" fillId="10" borderId="23" xfId="0" applyFill="1" applyBorder="1" applyAlignment="1" applyProtection="1">
      <alignment vertical="center" wrapText="1"/>
    </xf>
    <xf numFmtId="0" fontId="0" fillId="10" borderId="24" xfId="0" applyFill="1" applyBorder="1" applyAlignment="1" applyProtection="1">
      <alignment vertical="center" wrapText="1"/>
    </xf>
    <xf numFmtId="164" fontId="2" fillId="4" borderId="10" xfId="0" applyNumberFormat="1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0" fillId="4" borderId="14" xfId="0" applyFill="1" applyBorder="1" applyAlignment="1" applyProtection="1">
      <alignment vertical="center" wrapText="1"/>
    </xf>
    <xf numFmtId="0" fontId="0" fillId="4" borderId="16" xfId="0" applyFill="1" applyBorder="1" applyAlignment="1" applyProtection="1">
      <alignment vertical="center" wrapText="1"/>
    </xf>
    <xf numFmtId="169" fontId="23" fillId="2" borderId="10" xfId="0" applyNumberFormat="1" applyFont="1" applyFill="1" applyBorder="1" applyAlignment="1" applyProtection="1">
      <alignment horizontal="center" vertical="center" wrapText="1"/>
    </xf>
    <xf numFmtId="169" fontId="18" fillId="2" borderId="11" xfId="0" applyNumberFormat="1" applyFont="1" applyFill="1" applyBorder="1" applyAlignment="1" applyProtection="1">
      <alignment horizontal="center" vertical="center" wrapText="1"/>
    </xf>
    <xf numFmtId="169" fontId="18" fillId="2" borderId="12" xfId="0" applyNumberFormat="1" applyFont="1" applyFill="1" applyBorder="1" applyAlignment="1" applyProtection="1">
      <alignment horizontal="center" vertical="center" wrapText="1"/>
    </xf>
    <xf numFmtId="169" fontId="18" fillId="2" borderId="14" xfId="0" applyNumberFormat="1" applyFont="1" applyFill="1" applyBorder="1" applyAlignment="1" applyProtection="1">
      <alignment vertical="center" wrapText="1"/>
    </xf>
    <xf numFmtId="169" fontId="18" fillId="2" borderId="15" xfId="0" applyNumberFormat="1" applyFont="1" applyFill="1" applyBorder="1" applyAlignment="1" applyProtection="1">
      <alignment vertical="center" wrapText="1"/>
    </xf>
    <xf numFmtId="169" fontId="18" fillId="2" borderId="16" xfId="0" applyNumberFormat="1" applyFont="1" applyFill="1" applyBorder="1" applyAlignment="1" applyProtection="1">
      <alignment vertical="center" wrapText="1"/>
    </xf>
    <xf numFmtId="168" fontId="23" fillId="10" borderId="10" xfId="0" applyNumberFormat="1" applyFont="1" applyFill="1" applyBorder="1" applyAlignment="1" applyProtection="1">
      <alignment horizontal="center" vertical="center" wrapText="1"/>
    </xf>
    <xf numFmtId="168" fontId="18" fillId="10" borderId="11" xfId="0" applyNumberFormat="1" applyFont="1" applyFill="1" applyBorder="1" applyAlignment="1" applyProtection="1">
      <alignment vertical="center" wrapText="1"/>
    </xf>
    <xf numFmtId="168" fontId="18" fillId="10" borderId="12" xfId="0" applyNumberFormat="1" applyFont="1" applyFill="1" applyBorder="1" applyAlignment="1" applyProtection="1">
      <alignment vertical="center" wrapText="1"/>
    </xf>
    <xf numFmtId="168" fontId="18" fillId="10" borderId="14" xfId="0" applyNumberFormat="1" applyFont="1" applyFill="1" applyBorder="1" applyAlignment="1" applyProtection="1">
      <alignment vertical="center" wrapText="1"/>
    </xf>
    <xf numFmtId="168" fontId="18" fillId="10" borderId="15" xfId="0" applyNumberFormat="1" applyFont="1" applyFill="1" applyBorder="1" applyAlignment="1" applyProtection="1">
      <alignment vertical="center" wrapText="1"/>
    </xf>
    <xf numFmtId="168" fontId="18" fillId="10" borderId="16" xfId="0" applyNumberFormat="1" applyFont="1" applyFill="1" applyBorder="1" applyAlignment="1" applyProtection="1">
      <alignment vertical="center" wrapText="1"/>
    </xf>
    <xf numFmtId="170" fontId="1" fillId="3" borderId="10" xfId="0" applyNumberFormat="1" applyFont="1" applyFill="1" applyBorder="1" applyAlignment="1" applyProtection="1">
      <alignment horizontal="center" vertical="center" wrapText="1"/>
    </xf>
    <xf numFmtId="170" fontId="18" fillId="3" borderId="12" xfId="0" applyNumberFormat="1" applyFont="1" applyFill="1" applyBorder="1" applyAlignment="1" applyProtection="1">
      <alignment vertical="center" wrapText="1"/>
    </xf>
    <xf numFmtId="170" fontId="18" fillId="3" borderId="14" xfId="0" applyNumberFormat="1" applyFont="1" applyFill="1" applyBorder="1" applyAlignment="1" applyProtection="1">
      <alignment vertical="center" wrapText="1"/>
    </xf>
    <xf numFmtId="170" fontId="18" fillId="3" borderId="16" xfId="0" applyNumberFormat="1" applyFont="1" applyFill="1" applyBorder="1" applyAlignment="1" applyProtection="1">
      <alignment vertical="center" wrapText="1"/>
    </xf>
    <xf numFmtId="171" fontId="21" fillId="12" borderId="10" xfId="0" applyNumberFormat="1" applyFont="1" applyFill="1" applyBorder="1" applyAlignment="1" applyProtection="1">
      <alignment horizontal="center" vertical="center" wrapText="1"/>
    </xf>
    <xf numFmtId="171" fontId="22" fillId="12" borderId="11" xfId="0" applyNumberFormat="1" applyFont="1" applyFill="1" applyBorder="1" applyAlignment="1" applyProtection="1">
      <alignment vertical="center" wrapText="1"/>
    </xf>
    <xf numFmtId="171" fontId="22" fillId="12" borderId="14" xfId="0" applyNumberFormat="1" applyFont="1" applyFill="1" applyBorder="1" applyAlignment="1" applyProtection="1">
      <alignment vertical="center" wrapText="1"/>
    </xf>
    <xf numFmtId="171" fontId="22" fillId="12" borderId="15" xfId="0" applyNumberFormat="1" applyFont="1" applyFill="1" applyBorder="1" applyAlignment="1" applyProtection="1">
      <alignment vertical="center" wrapText="1"/>
    </xf>
    <xf numFmtId="172" fontId="20" fillId="12" borderId="33" xfId="0" applyNumberFormat="1" applyFont="1" applyFill="1" applyBorder="1" applyAlignment="1" applyProtection="1">
      <alignment horizontal="center" vertical="center" wrapText="1"/>
    </xf>
    <xf numFmtId="172" fontId="4" fillId="12" borderId="55" xfId="0" applyNumberFormat="1" applyFont="1" applyFill="1" applyBorder="1" applyAlignment="1" applyProtection="1">
      <alignment vertical="center" wrapText="1"/>
    </xf>
    <xf numFmtId="174" fontId="20" fillId="12" borderId="34" xfId="0" applyNumberFormat="1" applyFont="1" applyFill="1" applyBorder="1" applyAlignment="1" applyProtection="1">
      <alignment horizontal="center" vertical="center" wrapText="1"/>
    </xf>
    <xf numFmtId="0" fontId="0" fillId="12" borderId="45" xfId="0" applyFill="1" applyBorder="1" applyAlignment="1" applyProtection="1">
      <alignment vertical="center" wrapText="1"/>
    </xf>
    <xf numFmtId="173" fontId="20" fillId="12" borderId="10" xfId="0" applyNumberFormat="1" applyFont="1" applyFill="1" applyBorder="1" applyAlignment="1" applyProtection="1">
      <alignment horizontal="center" vertical="center" wrapText="1"/>
    </xf>
    <xf numFmtId="0" fontId="0" fillId="12" borderId="12" xfId="0" applyFill="1" applyBorder="1" applyAlignment="1" applyProtection="1">
      <alignment vertical="center" wrapText="1"/>
    </xf>
    <xf numFmtId="0" fontId="0" fillId="12" borderId="14" xfId="0" applyFill="1" applyBorder="1" applyAlignment="1" applyProtection="1">
      <alignment vertical="center" wrapText="1"/>
    </xf>
    <xf numFmtId="0" fontId="0" fillId="12" borderId="16" xfId="0" applyFill="1" applyBorder="1" applyAlignment="1" applyProtection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8" fontId="23" fillId="1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5" borderId="34" xfId="0" applyNumberFormat="1" applyFill="1" applyBorder="1" applyAlignment="1" applyProtection="1">
      <alignment horizontal="center" vertical="center" wrapText="1"/>
      <protection locked="0"/>
    </xf>
    <xf numFmtId="0" fontId="0" fillId="15" borderId="21" xfId="0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</xf>
    <xf numFmtId="0" fontId="3" fillId="4" borderId="8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0" fillId="4" borderId="23" xfId="0" applyFill="1" applyBorder="1" applyAlignment="1" applyProtection="1">
      <alignment vertical="center" wrapText="1"/>
    </xf>
    <xf numFmtId="0" fontId="0" fillId="4" borderId="24" xfId="0" applyFill="1" applyBorder="1" applyAlignment="1" applyProtection="1">
      <alignment vertical="center" wrapText="1"/>
    </xf>
    <xf numFmtId="171" fontId="20" fillId="12" borderId="11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12" borderId="11" xfId="0" applyFill="1" applyBorder="1" applyAlignment="1" applyProtection="1">
      <alignment vertical="center" wrapText="1"/>
    </xf>
    <xf numFmtId="0" fontId="0" fillId="12" borderId="15" xfId="0" applyFill="1" applyBorder="1" applyAlignment="1" applyProtection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4" borderId="23" xfId="0" applyFill="1" applyBorder="1" applyAlignment="1">
      <alignment vertical="center" wrapText="1"/>
    </xf>
    <xf numFmtId="0" fontId="0" fillId="4" borderId="23" xfId="0" applyFill="1" applyBorder="1" applyAlignment="1">
      <alignment wrapText="1"/>
    </xf>
    <xf numFmtId="0" fontId="0" fillId="4" borderId="24" xfId="0" applyFill="1" applyBorder="1" applyAlignment="1">
      <alignment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vertical="center" wrapText="1"/>
    </xf>
    <xf numFmtId="0" fontId="9" fillId="4" borderId="24" xfId="0" applyFont="1" applyFill="1" applyBorder="1" applyAlignment="1">
      <alignment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wrapText="1"/>
    </xf>
    <xf numFmtId="0" fontId="13" fillId="10" borderId="22" xfId="0" applyFont="1" applyFill="1" applyBorder="1" applyAlignment="1">
      <alignment horizontal="center" wrapText="1"/>
    </xf>
    <xf numFmtId="0" fontId="0" fillId="10" borderId="23" xfId="0" applyFill="1" applyBorder="1" applyAlignment="1">
      <alignment horizontal="center" wrapText="1"/>
    </xf>
    <xf numFmtId="0" fontId="0" fillId="10" borderId="24" xfId="0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wrapText="1"/>
    </xf>
    <xf numFmtId="0" fontId="14" fillId="3" borderId="24" xfId="0" applyFont="1" applyFill="1" applyBorder="1" applyAlignment="1">
      <alignment wrapText="1"/>
    </xf>
    <xf numFmtId="0" fontId="14" fillId="2" borderId="23" xfId="0" applyFont="1" applyFill="1" applyBorder="1" applyAlignment="1">
      <alignment wrapText="1"/>
    </xf>
    <xf numFmtId="0" fontId="14" fillId="2" borderId="24" xfId="0" applyFont="1" applyFill="1" applyBorder="1" applyAlignment="1">
      <alignment wrapText="1"/>
    </xf>
    <xf numFmtId="0" fontId="3" fillId="4" borderId="6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wrapText="1"/>
    </xf>
    <xf numFmtId="0" fontId="14" fillId="10" borderId="23" xfId="0" applyFont="1" applyFill="1" applyBorder="1" applyAlignment="1">
      <alignment wrapText="1"/>
    </xf>
    <xf numFmtId="0" fontId="14" fillId="10" borderId="24" xfId="0" applyFont="1" applyFill="1" applyBorder="1" applyAlignment="1">
      <alignment wrapText="1"/>
    </xf>
    <xf numFmtId="0" fontId="6" fillId="9" borderId="10" xfId="0" applyFont="1" applyFill="1" applyBorder="1" applyAlignment="1" applyProtection="1">
      <alignment horizontal="left" vertical="center" wrapText="1"/>
    </xf>
    <xf numFmtId="0" fontId="0" fillId="9" borderId="12" xfId="0" applyFill="1" applyBorder="1" applyAlignment="1">
      <alignment vertical="center" wrapText="1"/>
    </xf>
    <xf numFmtId="0" fontId="0" fillId="9" borderId="64" xfId="0" applyFill="1" applyBorder="1" applyAlignment="1">
      <alignment vertical="center" wrapText="1"/>
    </xf>
    <xf numFmtId="0" fontId="0" fillId="9" borderId="13" xfId="0" applyFill="1" applyBorder="1" applyAlignment="1">
      <alignment vertical="center" wrapText="1"/>
    </xf>
    <xf numFmtId="0" fontId="0" fillId="9" borderId="14" xfId="0" applyFill="1" applyBorder="1" applyAlignment="1">
      <alignment vertical="center" wrapText="1"/>
    </xf>
    <xf numFmtId="0" fontId="0" fillId="9" borderId="16" xfId="0" applyFill="1" applyBorder="1" applyAlignment="1">
      <alignment vertical="center" wrapText="1"/>
    </xf>
    <xf numFmtId="0" fontId="35" fillId="10" borderId="10" xfId="0" applyFont="1" applyFill="1" applyBorder="1" applyAlignment="1" applyProtection="1">
      <alignment horizontal="right" vertical="center" wrapText="1"/>
    </xf>
    <xf numFmtId="0" fontId="35" fillId="10" borderId="64" xfId="0" applyFont="1" applyFill="1" applyBorder="1" applyAlignment="1" applyProtection="1">
      <alignment horizontal="right" vertical="center" wrapText="1"/>
    </xf>
    <xf numFmtId="0" fontId="34" fillId="10" borderId="14" xfId="0" applyFont="1" applyFill="1" applyBorder="1" applyAlignment="1" applyProtection="1">
      <alignment horizontal="right" vertical="center" wrapText="1"/>
    </xf>
    <xf numFmtId="0" fontId="36" fillId="10" borderId="12" xfId="0" applyFont="1" applyFill="1" applyBorder="1" applyAlignment="1" applyProtection="1">
      <alignment horizontal="left" vertical="center" wrapText="1"/>
    </xf>
    <xf numFmtId="0" fontId="36" fillId="10" borderId="13" xfId="0" applyFont="1" applyFill="1" applyBorder="1" applyAlignment="1" applyProtection="1">
      <alignment horizontal="left" vertical="center" wrapText="1"/>
    </xf>
    <xf numFmtId="0" fontId="37" fillId="10" borderId="16" xfId="0" applyFont="1" applyFill="1" applyBorder="1" applyAlignment="1" applyProtection="1">
      <alignment horizontal="left" vertical="center" wrapText="1"/>
    </xf>
    <xf numFmtId="0" fontId="35" fillId="17" borderId="10" xfId="0" applyFont="1" applyFill="1" applyBorder="1" applyAlignment="1" applyProtection="1">
      <alignment horizontal="right" vertical="center" wrapText="1"/>
    </xf>
    <xf numFmtId="0" fontId="35" fillId="17" borderId="64" xfId="0" applyFont="1" applyFill="1" applyBorder="1" applyAlignment="1" applyProtection="1">
      <alignment horizontal="right" vertical="center" wrapText="1"/>
    </xf>
    <xf numFmtId="0" fontId="34" fillId="17" borderId="14" xfId="0" applyFont="1" applyFill="1" applyBorder="1" applyAlignment="1" applyProtection="1">
      <alignment horizontal="right" vertical="center" wrapText="1"/>
    </xf>
    <xf numFmtId="0" fontId="36" fillId="17" borderId="12" xfId="0" applyFont="1" applyFill="1" applyBorder="1" applyAlignment="1" applyProtection="1">
      <alignment horizontal="left" vertical="center" wrapText="1"/>
    </xf>
    <xf numFmtId="0" fontId="36" fillId="17" borderId="13" xfId="0" applyFont="1" applyFill="1" applyBorder="1" applyAlignment="1" applyProtection="1">
      <alignment horizontal="left" vertical="center" wrapText="1"/>
    </xf>
    <xf numFmtId="0" fontId="37" fillId="17" borderId="16" xfId="0" applyFont="1" applyFill="1" applyBorder="1" applyAlignment="1" applyProtection="1">
      <alignment horizontal="left" vertical="center" wrapText="1"/>
    </xf>
    <xf numFmtId="0" fontId="33" fillId="4" borderId="10" xfId="0" applyFont="1" applyFill="1" applyBorder="1" applyAlignment="1" applyProtection="1">
      <alignment horizontal="center" vertical="center" wrapText="1"/>
    </xf>
    <xf numFmtId="0" fontId="33" fillId="4" borderId="11" xfId="0" applyFont="1" applyFill="1" applyBorder="1" applyAlignment="1" applyProtection="1">
      <alignment horizontal="center" vertical="center" wrapText="1"/>
    </xf>
    <xf numFmtId="0" fontId="33" fillId="4" borderId="12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33" fillId="4" borderId="29" xfId="0" applyFont="1" applyFill="1" applyBorder="1" applyAlignment="1" applyProtection="1">
      <alignment horizontal="center" vertical="center" wrapText="1"/>
    </xf>
    <xf numFmtId="0" fontId="33" fillId="4" borderId="19" xfId="0" applyFont="1" applyFill="1" applyBorder="1" applyAlignment="1" applyProtection="1">
      <alignment horizontal="center" vertical="center" wrapText="1"/>
    </xf>
    <xf numFmtId="0" fontId="3" fillId="4" borderId="32" xfId="0" quotePrefix="1" applyFont="1" applyFill="1" applyBorder="1" applyAlignment="1" applyProtection="1">
      <alignment horizontal="center" vertical="center" wrapText="1"/>
    </xf>
    <xf numFmtId="0" fontId="8" fillId="4" borderId="69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</cellXfs>
  <cellStyles count="10">
    <cellStyle name="Activity" xfId="5"/>
    <cellStyle name="Label" xfId="4"/>
    <cellStyle name="Lien hypertexte" xfId="9" builtinId="8"/>
    <cellStyle name="Normal" xfId="0" builtinId="0"/>
    <cellStyle name="Normal 2" xfId="2"/>
    <cellStyle name="Percent Complete" xfId="6"/>
    <cellStyle name="Period Headers" xfId="8"/>
    <cellStyle name="Period Highlight Control" xfId="3"/>
    <cellStyle name="Project Headers" xfId="7"/>
    <cellStyle name="Titre 1 2" xfId="1"/>
  </cellStyles>
  <dxfs count="7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none"/>
      </font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/>
        <sz val="8"/>
        <color rgb="FFC00000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color auto="1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none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8"/>
        <name val="Calibri"/>
        <scheme val="none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none"/>
      </font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A3A3A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D0EA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fr-FR" sz="1100">
                <a:solidFill>
                  <a:schemeClr val="bg1"/>
                </a:solidFill>
              </a:rPr>
              <a:t>Ressources requises</a:t>
            </a:r>
          </a:p>
        </c:rich>
      </c:tx>
      <c:overlay val="0"/>
      <c:spPr>
        <a:solidFill>
          <a:srgbClr val="002060"/>
        </a:solidFill>
        <a:ln>
          <a:solidFill>
            <a:schemeClr val="tx1"/>
          </a:solidFill>
        </a:ln>
      </c:spPr>
    </c:title>
    <c:autoTitleDeleted val="0"/>
    <c:view3D>
      <c:rotX val="5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029930257227551E-2"/>
          <c:y val="0.17578387114049981"/>
          <c:w val="0.68639384932463732"/>
          <c:h val="0.815323251352262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</c:dPt>
          <c:dPt>
            <c:idx val="1"/>
            <c:bubble3D val="0"/>
            <c:spPr>
              <a:solidFill>
                <a:srgbClr val="7030A0"/>
              </a:solidFill>
            </c:spPr>
          </c:dPt>
          <c:dPt>
            <c:idx val="2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800"/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'À FAIRE - Sommaire'!$Y$3:$Y$5</c:f>
              <c:strCache>
                <c:ptCount val="3"/>
                <c:pt idx="0">
                  <c:v>Or</c:v>
                </c:pt>
                <c:pt idx="1">
                  <c:v>Élixir</c:v>
                </c:pt>
                <c:pt idx="2">
                  <c:v>Élixir Noir</c:v>
                </c:pt>
              </c:strCache>
            </c:strRef>
          </c:cat>
          <c:val>
            <c:numRef>
              <c:f>'À FAIRE - Sommaire'!$Z$3:$Z$5</c:f>
              <c:numCache>
                <c:formatCode>#,##0</c:formatCode>
                <c:ptCount val="3"/>
                <c:pt idx="0">
                  <c:v>48804000</c:v>
                </c:pt>
                <c:pt idx="1">
                  <c:v>19400000</c:v>
                </c:pt>
                <c:pt idx="2">
                  <c:v>105000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209551</xdr:colOff>
      <xdr:row>25</xdr:row>
      <xdr:rowOff>114300</xdr:rowOff>
    </xdr:from>
    <xdr:to>
      <xdr:col>19</xdr:col>
      <xdr:colOff>295275</xdr:colOff>
      <xdr:row>38</xdr:row>
      <xdr:rowOff>139148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c-cost-time-calcultator-v1-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À FAIRE - Détails"/>
      <sheetName val="Buildings"/>
      <sheetName val="Upgrades - Spells &amp; Troops"/>
      <sheetName val="Heroes"/>
      <sheetName val="Costs"/>
      <sheetName val="À FAIRE - Sommaire"/>
      <sheetName val="Paramètres"/>
      <sheetName val="ChangeLog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W2">
            <v>5</v>
          </cell>
        </row>
      </sheetData>
      <sheetData sheetId="7"/>
    </sheetDataSet>
  </externalBook>
</externalLink>
</file>

<file path=xl/tables/table1.xml><?xml version="1.0" encoding="utf-8"?>
<table xmlns="http://schemas.openxmlformats.org/spreadsheetml/2006/main" id="4" name="CHANGES_Buildings_Resource" displayName="CHANGES_Buildings_Resource" ref="O2:AA13" totalsRowShown="0" headerRowDxfId="610" dataDxfId="608" headerRowBorderDxfId="609" tableBorderDxfId="607">
  <autoFilter ref="O2:AA13"/>
  <tableColumns count="13">
    <tableColumn id="1" name="TH Level" dataDxfId="606"/>
    <tableColumn id="2" name="Mine d'Or" dataDxfId="605"/>
    <tableColumn id="3" name="LVL Max" dataDxfId="604"/>
    <tableColumn id="4" name="Extracteur d'Élixir" dataDxfId="603"/>
    <tableColumn id="5" name="LVL Max2" dataDxfId="602"/>
    <tableColumn id="6" name="Foreuse d'Élixir Noir" dataDxfId="601"/>
    <tableColumn id="7" name="LVL Max3" dataDxfId="600"/>
    <tableColumn id="8" name="Réservoir d'Or" dataDxfId="599"/>
    <tableColumn id="9" name="LVL Max4" dataDxfId="598"/>
    <tableColumn id="10" name="Réservoir d'Élixir" dataDxfId="597"/>
    <tableColumn id="11" name="LVL Max5" dataDxfId="596"/>
    <tableColumn id="12" name="Réservoir d'Élixir Noir" dataDxfId="595"/>
    <tableColumn id="13" name="LVL Max6" dataDxfId="594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38" name="AVAILABLE_Upgrades_Spells" displayName="AVAILABLE_Upgrades_Spells" ref="A2:K13" totalsRowShown="0" headerRowDxfId="468" dataDxfId="466" headerRowBorderDxfId="467" tableBorderDxfId="465">
  <autoFilter ref="A2:K13"/>
  <tableColumns count="11">
    <tableColumn id="1" name="TH Level" dataDxfId="464"/>
    <tableColumn id="2" name="Sort de Foudre" dataDxfId="463"/>
    <tableColumn id="3" name="LVL Max" dataDxfId="462"/>
    <tableColumn id="4" name="Sort de Guérison" dataDxfId="461"/>
    <tableColumn id="5" name="LVL Max2" dataDxfId="460"/>
    <tableColumn id="6" name="Sort de Rage" dataDxfId="459"/>
    <tableColumn id="7" name="LVL Max3" dataDxfId="458"/>
    <tableColumn id="8" name="Sort de Saut" dataDxfId="457"/>
    <tableColumn id="9" name="LVL Max4" dataDxfId="456"/>
    <tableColumn id="10" name="Sort de Gel" dataDxfId="455"/>
    <tableColumn id="11" name="LVL Max5" dataDxfId="454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39" name="CHANGES_Upgrades_Spells" displayName="CHANGES_Upgrades_Spells" ref="M2:W13" totalsRowShown="0" headerRowDxfId="453" dataDxfId="451" headerRowBorderDxfId="452" tableBorderDxfId="450">
  <autoFilter ref="M2:W13"/>
  <tableColumns count="11">
    <tableColumn id="1" name="TH Level" dataDxfId="449"/>
    <tableColumn id="2" name="Sort de Foudre" dataDxfId="448"/>
    <tableColumn id="3" name="LVL Max" dataDxfId="447"/>
    <tableColumn id="4" name="Sort de Guériosn" dataDxfId="446"/>
    <tableColumn id="5" name="LVL Max2" dataDxfId="445"/>
    <tableColumn id="6" name="Sort de Rage" dataDxfId="444"/>
    <tableColumn id="7" name="LVL Max3" dataDxfId="443"/>
    <tableColumn id="8" name="Sort de Saut" dataDxfId="442"/>
    <tableColumn id="9" name="LVL Max4" dataDxfId="441"/>
    <tableColumn id="10" name="Sort de Gel" dataDxfId="440"/>
    <tableColumn id="11" name="LVL Max5" dataDxfId="439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32" name="AVAILABLE_Upgrades_Normal_Troops" displayName="AVAILABLE_Upgrades_Normal_Troops" ref="A17:U28" totalsRowShown="0" headerRowDxfId="438" dataDxfId="436" headerRowBorderDxfId="437" tableBorderDxfId="435">
  <autoFilter ref="A17:U28"/>
  <tableColumns count="21">
    <tableColumn id="1" name="TH Level" dataDxfId="434"/>
    <tableColumn id="2" name="Barbare" dataDxfId="433"/>
    <tableColumn id="3" name="LVL Max" dataDxfId="432"/>
    <tableColumn id="4" name="Archer" dataDxfId="431"/>
    <tableColumn id="5" name="LVL Max2" dataDxfId="430"/>
    <tableColumn id="6" name="Goblin" dataDxfId="429"/>
    <tableColumn id="7" name="LVL Max3" dataDxfId="428"/>
    <tableColumn id="8" name="Géant" dataDxfId="427"/>
    <tableColumn id="9" name="LVL Max4" dataDxfId="426"/>
    <tableColumn id="10" name="Casse-Briques" dataDxfId="425"/>
    <tableColumn id="11" name="LVL Max5" dataDxfId="424"/>
    <tableColumn id="12" name="Ballon" dataDxfId="423"/>
    <tableColumn id="13" name="LVL Max6" dataDxfId="422"/>
    <tableColumn id="14" name="Sorcier" dataDxfId="421"/>
    <tableColumn id="15" name="LVL Max7" dataDxfId="420"/>
    <tableColumn id="16" name="Guérisseuse" dataDxfId="419"/>
    <tableColumn id="17" name="LVL Max8" dataDxfId="418"/>
    <tableColumn id="18" name="Dragon" dataDxfId="417"/>
    <tableColumn id="19" name="LVL Max9" dataDxfId="416"/>
    <tableColumn id="20" name="P.E.K.K.A" dataDxfId="415"/>
    <tableColumn id="21" name="LVL Max10" dataDxfId="414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33" name="CHANGES_Upgrades_Normal_Troops" displayName="CHANGES_Upgrades_Normal_Troops" ref="W17:AQ28" totalsRowShown="0" headerRowDxfId="413" dataDxfId="411" headerRowBorderDxfId="412" tableBorderDxfId="410">
  <autoFilter ref="W17:AQ28"/>
  <tableColumns count="21">
    <tableColumn id="1" name="TH Level" dataDxfId="409"/>
    <tableColumn id="2" name="Barbare" dataDxfId="408">
      <calculatedColumnFormula>'Amélirations Sorts &amp; Troupes '!B18-'Amélirations Sorts &amp; Troupes '!B17</calculatedColumnFormula>
    </tableColumn>
    <tableColumn id="3" name="LVL Max" dataDxfId="407">
      <calculatedColumnFormula>'Amélirations Sorts &amp; Troupes '!C18-'Amélirations Sorts &amp; Troupes '!C17</calculatedColumnFormula>
    </tableColumn>
    <tableColumn id="4" name="Archer" dataDxfId="406">
      <calculatedColumnFormula>'Amélirations Sorts &amp; Troupes '!D18-'Amélirations Sorts &amp; Troupes '!D17</calculatedColumnFormula>
    </tableColumn>
    <tableColumn id="5" name="LVL Max2" dataDxfId="405">
      <calculatedColumnFormula>'Amélirations Sorts &amp; Troupes '!E18-'Amélirations Sorts &amp; Troupes '!E17</calculatedColumnFormula>
    </tableColumn>
    <tableColumn id="6" name="Goblin" dataDxfId="404">
      <calculatedColumnFormula>'Amélirations Sorts &amp; Troupes '!F18-'Amélirations Sorts &amp; Troupes '!F17</calculatedColumnFormula>
    </tableColumn>
    <tableColumn id="7" name="LVL Max3" dataDxfId="403">
      <calculatedColumnFormula>'Amélirations Sorts &amp; Troupes '!G18-'Amélirations Sorts &amp; Troupes '!G17</calculatedColumnFormula>
    </tableColumn>
    <tableColumn id="8" name="Géant" dataDxfId="402">
      <calculatedColumnFormula>'Amélirations Sorts &amp; Troupes '!H18-'Amélirations Sorts &amp; Troupes '!H17</calculatedColumnFormula>
    </tableColumn>
    <tableColumn id="9" name="LVL Max4" dataDxfId="401">
      <calculatedColumnFormula>'Amélirations Sorts &amp; Troupes '!I18-'Amélirations Sorts &amp; Troupes '!I17</calculatedColumnFormula>
    </tableColumn>
    <tableColumn id="10" name="Casse-Briques" dataDxfId="400">
      <calculatedColumnFormula>'Amélirations Sorts &amp; Troupes '!J18-'Amélirations Sorts &amp; Troupes '!J17</calculatedColumnFormula>
    </tableColumn>
    <tableColumn id="11" name="LVL Max5" dataDxfId="399">
      <calculatedColumnFormula>'Amélirations Sorts &amp; Troupes '!K18-'Amélirations Sorts &amp; Troupes '!K17</calculatedColumnFormula>
    </tableColumn>
    <tableColumn id="12" name="Ballon" dataDxfId="398">
      <calculatedColumnFormula>'Amélirations Sorts &amp; Troupes '!L18-'Amélirations Sorts &amp; Troupes '!L17</calculatedColumnFormula>
    </tableColumn>
    <tableColumn id="13" name="LVL Max6" dataDxfId="397">
      <calculatedColumnFormula>'Amélirations Sorts &amp; Troupes '!M18-'Amélirations Sorts &amp; Troupes '!M17</calculatedColumnFormula>
    </tableColumn>
    <tableColumn id="14" name="Sorcier" dataDxfId="396">
      <calculatedColumnFormula>'Amélirations Sorts &amp; Troupes '!N18-'Amélirations Sorts &amp; Troupes '!N17</calculatedColumnFormula>
    </tableColumn>
    <tableColumn id="15" name="LVL Max7" dataDxfId="395">
      <calculatedColumnFormula>'Amélirations Sorts &amp; Troupes '!O18-'Amélirations Sorts &amp; Troupes '!O17</calculatedColumnFormula>
    </tableColumn>
    <tableColumn id="16" name="Guérisseuse" dataDxfId="394">
      <calculatedColumnFormula>'Amélirations Sorts &amp; Troupes '!P18-'Amélirations Sorts &amp; Troupes '!P17</calculatedColumnFormula>
    </tableColumn>
    <tableColumn id="17" name="LVL Max8" dataDxfId="393">
      <calculatedColumnFormula>'Amélirations Sorts &amp; Troupes '!Q18-'Amélirations Sorts &amp; Troupes '!Q17</calculatedColumnFormula>
    </tableColumn>
    <tableColumn id="18" name="Dragon" dataDxfId="392">
      <calculatedColumnFormula>'Amélirations Sorts &amp; Troupes '!R18-'Amélirations Sorts &amp; Troupes '!R17</calculatedColumnFormula>
    </tableColumn>
    <tableColumn id="19" name="LVL Max9" dataDxfId="391">
      <calculatedColumnFormula>'Amélirations Sorts &amp; Troupes '!S18-'Amélirations Sorts &amp; Troupes '!S17</calculatedColumnFormula>
    </tableColumn>
    <tableColumn id="20" name="P.E.K.K.A" dataDxfId="390">
      <calculatedColumnFormula>'Amélirations Sorts &amp; Troupes '!T18-'Amélirations Sorts &amp; Troupes '!T17</calculatedColumnFormula>
    </tableColumn>
    <tableColumn id="21" name="LVL Max10" dataDxfId="389">
      <calculatedColumnFormula>'Amélirations Sorts &amp; Troupes '!U18-'Amélirations Sorts &amp; Troupes '!U17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50" name="AVAILABLE_Upgrades_Dark_Troops" displayName="AVAILABLE_Upgrades_Dark_Troops" ref="A32:I43" totalsRowShown="0" headerRowDxfId="388" dataDxfId="386" headerRowBorderDxfId="387" tableBorderDxfId="385">
  <autoFilter ref="A32:I43"/>
  <tableColumns count="9">
    <tableColumn id="1" name="TH Level" dataDxfId="384"/>
    <tableColumn id="2" name="Serviteur" dataDxfId="383"/>
    <tableColumn id="3" name="LVL Max" dataDxfId="382"/>
    <tableColumn id="4" name="Chevaucheur" dataDxfId="381"/>
    <tableColumn id="5" name="LVL Max2" dataDxfId="380"/>
    <tableColumn id="6" name="Valkyrie" dataDxfId="379"/>
    <tableColumn id="7" name="LVL Max3" dataDxfId="378"/>
    <tableColumn id="8" name="Golem" dataDxfId="377"/>
    <tableColumn id="9" name="LVL Max4" dataDxfId="376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51" name="CHANGES_Upgrades_Dark_Troops" displayName="CHANGES_Upgrades_Dark_Troops" ref="K32:S43" totalsRowShown="0" headerRowDxfId="375" dataDxfId="373" headerRowBorderDxfId="374" tableBorderDxfId="372">
  <autoFilter ref="K32:S43"/>
  <tableColumns count="9">
    <tableColumn id="1" name="TH Level" dataDxfId="371"/>
    <tableColumn id="2" name="Serviteur" dataDxfId="370">
      <calculatedColumnFormula>'Amélirations Sorts &amp; Troupes '!B33-'Amélirations Sorts &amp; Troupes '!B32</calculatedColumnFormula>
    </tableColumn>
    <tableColumn id="3" name="LVL Max" dataDxfId="369">
      <calculatedColumnFormula>'Amélirations Sorts &amp; Troupes '!C33-'Amélirations Sorts &amp; Troupes '!C32</calculatedColumnFormula>
    </tableColumn>
    <tableColumn id="4" name="Chevaucheur" dataDxfId="368">
      <calculatedColumnFormula>'Amélirations Sorts &amp; Troupes '!D33-'Amélirations Sorts &amp; Troupes '!D32</calculatedColumnFormula>
    </tableColumn>
    <tableColumn id="5" name="LVL Max2" dataDxfId="367">
      <calculatedColumnFormula>'Amélirations Sorts &amp; Troupes '!E33-'Amélirations Sorts &amp; Troupes '!E32</calculatedColumnFormula>
    </tableColumn>
    <tableColumn id="6" name="Valkyrie" dataDxfId="366">
      <calculatedColumnFormula>'Amélirations Sorts &amp; Troupes '!F33-'Amélirations Sorts &amp; Troupes '!F32</calculatedColumnFormula>
    </tableColumn>
    <tableColumn id="7" name="LVL Max3" dataDxfId="365">
      <calculatedColumnFormula>'Amélirations Sorts &amp; Troupes '!G33-'Amélirations Sorts &amp; Troupes '!G32</calculatedColumnFormula>
    </tableColumn>
    <tableColumn id="8" name="Golem" dataDxfId="364">
      <calculatedColumnFormula>'Amélirations Sorts &amp; Troupes '!H33-'Amélirations Sorts &amp; Troupes '!H32</calculatedColumnFormula>
    </tableColumn>
    <tableColumn id="9" name="LVL Max4" dataDxfId="363">
      <calculatedColumnFormula>'Amélirations Sorts &amp; Troupes '!I33-'Amélirations Sorts &amp; Troupes '!I32</calculatedColumnFormula>
    </tableColumn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22" name="AVAILABLE_Heroes" displayName="AVAILABLE_Heroes" ref="A2:E13" totalsRowShown="0" headerRowDxfId="362" dataDxfId="360" headerRowBorderDxfId="361" tableBorderDxfId="359">
  <autoFilter ref="A2:E13"/>
  <tableColumns count="5">
    <tableColumn id="1" name="TH Level" dataDxfId="358"/>
    <tableColumn id="2" name="Roi Barbare" dataDxfId="357"/>
    <tableColumn id="3" name="LVL Max" dataDxfId="356"/>
    <tableColumn id="4" name="Reine des Archers" dataDxfId="355"/>
    <tableColumn id="5" name="LVL Max2" dataDxfId="354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30" name="CHANGES_Heroes" displayName="CHANGES_Heroes" ref="G2:K13" totalsRowShown="0" headerRowDxfId="353" dataDxfId="351" headerRowBorderDxfId="352" tableBorderDxfId="350">
  <autoFilter ref="G2:K13"/>
  <tableColumns count="5">
    <tableColumn id="1" name="TH Level" dataDxfId="349"/>
    <tableColumn id="2" name="Roi Barbare" dataDxfId="348">
      <calculatedColumnFormula>B3-B2</calculatedColumnFormula>
    </tableColumn>
    <tableColumn id="3" name="LVL Max" dataDxfId="347">
      <calculatedColumnFormula>C3-C2</calculatedColumnFormula>
    </tableColumn>
    <tableColumn id="4" name="Reine des Archers" dataDxfId="346">
      <calculatedColumnFormula>D3-D2</calculatedColumnFormula>
    </tableColumn>
    <tableColumn id="5" name="LVL Max2" dataDxfId="345">
      <calculatedColumnFormula>E3-E2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6" name="COSTS_Barrack" displayName="COSTS_Barrack" ref="D21:F31" totalsRowShown="0" headerRowDxfId="344" dataDxfId="342" headerRowBorderDxfId="343" tableBorderDxfId="341">
  <autoFilter ref="D21:F31"/>
  <tableColumns count="3">
    <tableColumn id="1" name="LVL" dataDxfId="340"/>
    <tableColumn id="2" name="Coût" dataDxfId="339"/>
    <tableColumn id="3" name="Time" dataDxfId="338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7" name="COSTS_Dark_Elixir_Storage" displayName="COSTS_Dark_Elixir_Storage" ref="J4:L10" totalsRowShown="0" headerRowDxfId="337" dataDxfId="335" headerRowBorderDxfId="336" tableBorderDxfId="334">
  <autoFilter ref="J4:L10"/>
  <tableColumns count="3">
    <tableColumn id="1" name="LVL" dataDxfId="333"/>
    <tableColumn id="2" name="Coût" dataDxfId="332"/>
    <tableColumn id="4" name="Time" dataDxfId="33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AVAILABLE_Buildings_Resource" displayName="AVAILABLE_Buildings_Resource" ref="A2:M13" totalsRowShown="0" headerRowDxfId="593" dataDxfId="591" headerRowBorderDxfId="592" tableBorderDxfId="590">
  <autoFilter ref="A2:M13"/>
  <tableColumns count="13">
    <tableColumn id="1" name="TH Level" dataDxfId="589"/>
    <tableColumn id="2" name="Mine d'Or" dataDxfId="588"/>
    <tableColumn id="3" name="LVL Max" dataDxfId="587"/>
    <tableColumn id="4" name="Extracteur d'Élixir" dataDxfId="586"/>
    <tableColumn id="5" name="LVL Max2" dataDxfId="585"/>
    <tableColumn id="6" name="Foreuse d'Élixir Noir" dataDxfId="584"/>
    <tableColumn id="7" name="LVL Max3" dataDxfId="583"/>
    <tableColumn id="8" name="Réservoir d'Or" dataDxfId="582"/>
    <tableColumn id="9" name="LVL Max4" dataDxfId="581"/>
    <tableColumn id="10" name="Réservoir d'Élixir" dataDxfId="580"/>
    <tableColumn id="11" name="LVL Max5" dataDxfId="579"/>
    <tableColumn id="12" name="Réservoir d'Élixir Noir" dataDxfId="578"/>
    <tableColumn id="13" name="LVL Max6" dataDxfId="577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9" name="COSTS_Dark_Barrack" displayName="COSTS_Dark_Barrack" ref="A21:C25" totalsRowShown="0" headerRowDxfId="330" dataDxfId="328" headerRowBorderDxfId="329" tableBorderDxfId="327">
  <autoFilter ref="A21:C25"/>
  <tableColumns count="3">
    <tableColumn id="1" name="LVL" dataDxfId="326"/>
    <tableColumn id="2" name="Coût" dataDxfId="325"/>
    <tableColumn id="4" name="Time" dataDxfId="324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id="10" name="COSTS_Gold_Mine" displayName="COSTS_Gold_Mine" ref="A4:C15" totalsRowShown="0" headerRowDxfId="323" dataDxfId="321" headerRowBorderDxfId="322" tableBorderDxfId="320" totalsRowBorderDxfId="319">
  <autoFilter ref="A4:C15"/>
  <tableColumns count="3">
    <tableColumn id="1" name="LVL" dataDxfId="318"/>
    <tableColumn id="2" name="Coût" dataDxfId="317"/>
    <tableColumn id="4" name="Time" dataDxfId="316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11" name="COSTS_Elixir_Collector" displayName="COSTS_Elixir_Collector" ref="M4:O15" totalsRowShown="0" headerRowDxfId="315" dataDxfId="313" headerRowBorderDxfId="314" tableBorderDxfId="312" totalsRowBorderDxfId="311">
  <autoFilter ref="M4:O15"/>
  <tableColumns count="3">
    <tableColumn id="1" name="LVL" dataDxfId="310"/>
    <tableColumn id="2" name="Coût" dataDxfId="309"/>
    <tableColumn id="4" name="Time" dataDxfId="308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id="12" name="COSTS_Dark_Elixir_Drill" displayName="COSTS_Dark_Elixir_Drill" ref="D4:F10" totalsRowShown="0" headerRowDxfId="307" dataDxfId="305" headerRowBorderDxfId="306" tableBorderDxfId="304" totalsRowBorderDxfId="303">
  <autoFilter ref="D4:F10"/>
  <tableColumns count="3">
    <tableColumn id="1" name="LVL" dataDxfId="302"/>
    <tableColumn id="2" name="Coût" dataDxfId="301"/>
    <tableColumn id="4" name="Time" dataDxfId="300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13" name="COSTS_Gold_Storage" displayName="COSTS_Gold_Storage" ref="G4:I15" totalsRowShown="0" headerRowDxfId="299" dataDxfId="297" headerRowBorderDxfId="298" tableBorderDxfId="296" totalsRowBorderDxfId="295">
  <autoFilter ref="G4:I15"/>
  <tableColumns count="3">
    <tableColumn id="1" name="LVL" dataDxfId="294"/>
    <tableColumn id="2" name="Coût" dataDxfId="293"/>
    <tableColumn id="4" name="Time" dataDxfId="292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id="14" name="COSTS_Elixir_Storage" displayName="COSTS_Elixir_Storage" ref="P4:R15" totalsRowShown="0" headerRowDxfId="291" dataDxfId="289" headerRowBorderDxfId="290" tableBorderDxfId="288" totalsRowBorderDxfId="287">
  <autoFilter ref="P4:R15"/>
  <tableColumns count="3">
    <tableColumn id="1" name="LVL" dataDxfId="286"/>
    <tableColumn id="2" name="Coût" dataDxfId="285"/>
    <tableColumn id="4" name="Time" dataDxfId="284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id="15" name="COSTS_Army_Camp" displayName="COSTS_Army_Camp" ref="G21:I29" totalsRowShown="0" headerRowDxfId="283" dataDxfId="281" headerRowBorderDxfId="282" tableBorderDxfId="280" totalsRowBorderDxfId="279">
  <autoFilter ref="G21:I29"/>
  <tableColumns count="3">
    <tableColumn id="1" name="LVL" dataDxfId="278"/>
    <tableColumn id="2" name="Coût" dataDxfId="277"/>
    <tableColumn id="4" name="Time" dataDxfId="276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id="16" name="COSTS_Laboratory" displayName="COSTS_Laboratory" ref="J21:L29" totalsRowShown="0" headerRowDxfId="275" dataDxfId="273" headerRowBorderDxfId="274" tableBorderDxfId="272" totalsRowBorderDxfId="271">
  <autoFilter ref="J21:L29"/>
  <tableColumns count="3">
    <tableColumn id="1" name="LVL" dataDxfId="270"/>
    <tableColumn id="2" name="Coût" dataDxfId="269"/>
    <tableColumn id="4" name="Time" dataDxfId="268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id="17" name="COSTS_Spell_Factory" displayName="COSTS_Spell_Factory" ref="M21:O26" totalsRowShown="0" headerRowDxfId="267" dataDxfId="265" headerRowBorderDxfId="266" tableBorderDxfId="264" totalsRowBorderDxfId="263">
  <autoFilter ref="M21:O26"/>
  <tableColumns count="3">
    <tableColumn id="1" name="LVL" dataDxfId="262"/>
    <tableColumn id="2" name="Coût" dataDxfId="261"/>
    <tableColumn id="4" name="Time" dataDxfId="260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id="18" name="COSTS_Clan_Castle" displayName="COSTS_Clan_Castle" ref="A55:C60" totalsRowShown="0" headerRowDxfId="259" dataDxfId="257" headerRowBorderDxfId="258" tableBorderDxfId="256" totalsRowBorderDxfId="255">
  <autoFilter ref="A55:C60"/>
  <tableColumns count="3">
    <tableColumn id="1" name="LVL" dataDxfId="254"/>
    <tableColumn id="2" name="Coût" dataDxfId="253"/>
    <tableColumn id="4" name="Time" dataDxfId="25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6" name="CHANGES_Buildings_Army" displayName="CHANGES_Buildings_Army" ref="M17:W28" totalsRowShown="0" headerRowDxfId="576" dataDxfId="574" headerRowBorderDxfId="575" tableBorderDxfId="573">
  <autoFilter ref="M17:W28"/>
  <tableColumns count="11">
    <tableColumn id="1" name="TH Level" dataDxfId="572"/>
    <tableColumn id="14" name="Caserne" dataDxfId="571"/>
    <tableColumn id="15" name="LVL Max" dataDxfId="570"/>
    <tableColumn id="16" name="Caserne Noire" dataDxfId="569"/>
    <tableColumn id="17" name="LVL Max2" dataDxfId="568"/>
    <tableColumn id="18" name="Camp Militaire" dataDxfId="567"/>
    <tableColumn id="19" name="LVL Max3" dataDxfId="566"/>
    <tableColumn id="20" name="Laboratoire" dataDxfId="565"/>
    <tableColumn id="21" name="LVL Max4" dataDxfId="564"/>
    <tableColumn id="22" name="Usine de Sorts" dataDxfId="563"/>
    <tableColumn id="23" name="LVL Max5" dataDxfId="562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id="8" name="COSTS_Wizard_Tower" displayName="COSTS_Wizard_Tower" ref="P37:R44" totalsRowShown="0" headerRowDxfId="251" dataDxfId="249" headerRowBorderDxfId="250" tableBorderDxfId="248">
  <autoFilter ref="P37:R44"/>
  <tableColumns count="3">
    <tableColumn id="1" name="LVL" dataDxfId="247"/>
    <tableColumn id="2" name="Coût" dataDxfId="246"/>
    <tableColumn id="3" name="Time" dataDxfId="245"/>
  </tableColumns>
  <tableStyleInfo name="TableStyleMedium9" showFirstColumn="0" showLastColumn="0" showRowStripes="1" showColumnStripes="0"/>
</table>
</file>

<file path=xl/tables/table31.xml><?xml version="1.0" encoding="utf-8"?>
<table xmlns="http://schemas.openxmlformats.org/spreadsheetml/2006/main" id="19" name="COSTS_Mortar" displayName="COSTS_Mortar" ref="J37:L44" totalsRowShown="0" headerRowDxfId="244" dataDxfId="242" headerRowBorderDxfId="243" tableBorderDxfId="241">
  <autoFilter ref="J37:L44"/>
  <tableColumns count="3">
    <tableColumn id="1" name="LVL" dataDxfId="240"/>
    <tableColumn id="2" name="Coût" dataDxfId="239"/>
    <tableColumn id="4" name="Time" dataDxfId="238"/>
  </tableColumns>
  <tableStyleInfo name="TableStyleMedium9" showFirstColumn="0" showLastColumn="0" showRowStripes="1" showColumnStripes="0"/>
</table>
</file>

<file path=xl/tables/table32.xml><?xml version="1.0" encoding="utf-8"?>
<table xmlns="http://schemas.openxmlformats.org/spreadsheetml/2006/main" id="20" name="COSTS_Air_Defense" displayName="COSTS_Air_Defense" ref="M37:O45" totalsRowShown="0" headerRowDxfId="237" dataDxfId="235" headerRowBorderDxfId="236" tableBorderDxfId="234">
  <autoFilter ref="M37:O45"/>
  <tableColumns count="3">
    <tableColumn id="1" name="LVL" dataDxfId="233"/>
    <tableColumn id="2" name="Coût" dataDxfId="232"/>
    <tableColumn id="4" name="Time" dataDxfId="231"/>
  </tableColumns>
  <tableStyleInfo name="TableStyleMedium9" showFirstColumn="0" showLastColumn="0" showRowStripes="1" showColumnStripes="0"/>
</table>
</file>

<file path=xl/tables/table33.xml><?xml version="1.0" encoding="utf-8"?>
<table xmlns="http://schemas.openxmlformats.org/spreadsheetml/2006/main" id="21" name="COSTS_Cannon" displayName="COSTS_Cannon" ref="D37:F49" totalsRowShown="0" headerRowDxfId="230" dataDxfId="228" headerRowBorderDxfId="229" tableBorderDxfId="227" totalsRowBorderDxfId="226">
  <autoFilter ref="D37:F49"/>
  <tableColumns count="3">
    <tableColumn id="1" name="LVL" dataDxfId="225"/>
    <tableColumn id="2" name="Coût" dataDxfId="224"/>
    <tableColumn id="4" name="Time" dataDxfId="223"/>
  </tableColumns>
  <tableStyleInfo name="TableStyleMedium9" showFirstColumn="0" showLastColumn="0" showRowStripes="1" showColumnStripes="0"/>
</table>
</file>

<file path=xl/tables/table34.xml><?xml version="1.0" encoding="utf-8"?>
<table xmlns="http://schemas.openxmlformats.org/spreadsheetml/2006/main" id="23" name="COSTS_Archer_Tower" displayName="COSTS_Archer_Tower" ref="G37:I48" totalsRowShown="0" headerRowDxfId="222" dataDxfId="220" headerRowBorderDxfId="221" tableBorderDxfId="219" totalsRowBorderDxfId="218">
  <autoFilter ref="G37:I48"/>
  <tableColumns count="3">
    <tableColumn id="1" name="LVL" dataDxfId="217"/>
    <tableColumn id="2" name="Coût" dataDxfId="216"/>
    <tableColumn id="4" name="Time" dataDxfId="215"/>
  </tableColumns>
  <tableStyleInfo name="TableStyleMedium9" showFirstColumn="0" showLastColumn="0" showRowStripes="1" showColumnStripes="0"/>
</table>
</file>

<file path=xl/tables/table35.xml><?xml version="1.0" encoding="utf-8"?>
<table xmlns="http://schemas.openxmlformats.org/spreadsheetml/2006/main" id="24" name="COSTS_Wall" displayName="COSTS_Wall" ref="A37:C48" totalsRowShown="0" headerRowDxfId="214" dataDxfId="212" headerRowBorderDxfId="213" tableBorderDxfId="211" totalsRowBorderDxfId="210">
  <autoFilter ref="A37:C48"/>
  <tableColumns count="3">
    <tableColumn id="1" name="LVL" dataDxfId="209"/>
    <tableColumn id="2" name="Coût" dataDxfId="208"/>
    <tableColumn id="4" name="Time" dataDxfId="207"/>
  </tableColumns>
  <tableStyleInfo name="TableStyleMedium9" showFirstColumn="0" showLastColumn="0" showRowStripes="1" showColumnStripes="0"/>
</table>
</file>

<file path=xl/tables/table36.xml><?xml version="1.0" encoding="utf-8"?>
<table xmlns="http://schemas.openxmlformats.org/spreadsheetml/2006/main" id="26" name="COSTS_Hidden_Tesla" displayName="COSTS_Hidden_Tesla" ref="S37:U44" totalsRowShown="0" headerRowDxfId="206" dataDxfId="204" headerRowBorderDxfId="205" tableBorderDxfId="203" totalsRowBorderDxfId="202">
  <autoFilter ref="S37:U44"/>
  <tableColumns count="3">
    <tableColumn id="1" name="LVL" dataDxfId="201"/>
    <tableColumn id="2" name="Coût" dataDxfId="200"/>
    <tableColumn id="4" name="Time" dataDxfId="199"/>
  </tableColumns>
  <tableStyleInfo name="TableStyleMedium9" showFirstColumn="0" showLastColumn="0" showRowStripes="1" showColumnStripes="0"/>
</table>
</file>

<file path=xl/tables/table37.xml><?xml version="1.0" encoding="utf-8"?>
<table xmlns="http://schemas.openxmlformats.org/spreadsheetml/2006/main" id="27" name="COSTS_XBow" displayName="COSTS_XBow" ref="V37:X41" totalsRowShown="0" headerRowDxfId="198" dataDxfId="196" headerRowBorderDxfId="197" tableBorderDxfId="195" totalsRowBorderDxfId="194">
  <autoFilter ref="V37:X41"/>
  <tableColumns count="3">
    <tableColumn id="1" name="LVL" dataDxfId="193"/>
    <tableColumn id="2" name="Coût" dataDxfId="192"/>
    <tableColumn id="4" name="Time" dataDxfId="191"/>
  </tableColumns>
  <tableStyleInfo name="TableStyleMedium9" showFirstColumn="0" showLastColumn="0" showRowStripes="1" showColumnStripes="0"/>
</table>
</file>

<file path=xl/tables/table38.xml><?xml version="1.0" encoding="utf-8"?>
<table xmlns="http://schemas.openxmlformats.org/spreadsheetml/2006/main" id="28" name="COSTS_Inferno_Tower" displayName="COSTS_Inferno_Tower" ref="Y37:AA39" totalsRowShown="0" headerRowDxfId="190" dataDxfId="188" headerRowBorderDxfId="189" tableBorderDxfId="187" totalsRowBorderDxfId="186">
  <autoFilter ref="Y37:AA39"/>
  <tableColumns count="3">
    <tableColumn id="1" name="LVL" dataDxfId="185"/>
    <tableColumn id="2" name="Coût" dataDxfId="184"/>
    <tableColumn id="4" name="Time" dataDxfId="183"/>
  </tableColumns>
  <tableStyleInfo name="TableStyleMedium9" showFirstColumn="0" showLastColumn="0" showRowStripes="1" showColumnStripes="0"/>
</table>
</file>

<file path=xl/tables/table39.xml><?xml version="1.0" encoding="utf-8"?>
<table xmlns="http://schemas.openxmlformats.org/spreadsheetml/2006/main" id="25" name="COSTS_Barbarian_King" displayName="COSTS_Barbarian_King" ref="A106:C146" totalsRowShown="0" headerRowDxfId="182" dataDxfId="180" headerRowBorderDxfId="181" tableBorderDxfId="179" totalsRowBorderDxfId="178">
  <autoFilter ref="A106:C146"/>
  <tableColumns count="3">
    <tableColumn id="1" name="LVL" dataDxfId="177"/>
    <tableColumn id="2" name="Coût" dataDxfId="176"/>
    <tableColumn id="4" name="Time" dataDxfId="17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2" name="AVAILABLE_Buildings_Army" displayName="AVAILABLE_Buildings_Army" ref="A17:K28" totalsRowShown="0" headerRowDxfId="561" dataDxfId="559" headerRowBorderDxfId="560" tableBorderDxfId="558">
  <autoFilter ref="A17:K28"/>
  <tableColumns count="11">
    <tableColumn id="1" name="TH Level" dataDxfId="557"/>
    <tableColumn id="14" name="Caserne" dataDxfId="556"/>
    <tableColumn id="15" name="LVL Max" dataDxfId="555"/>
    <tableColumn id="16" name="Caserne Noire" dataDxfId="554"/>
    <tableColumn id="17" name="LVL Max2" dataDxfId="553"/>
    <tableColumn id="18" name="Camp Militaire" dataDxfId="552"/>
    <tableColumn id="19" name="LVL Max3" dataDxfId="551"/>
    <tableColumn id="20" name="Laboratoire" dataDxfId="550"/>
    <tableColumn id="21" name="LVL Max4" dataDxfId="549"/>
    <tableColumn id="22" name="Usine de Sorts" dataDxfId="548"/>
    <tableColumn id="23" name="LVL Max5" dataDxfId="547"/>
  </tableColumns>
  <tableStyleInfo name="TableStyleMedium9" showFirstColumn="0" showLastColumn="0" showRowStripes="1" showColumnStripes="0"/>
</table>
</file>

<file path=xl/tables/table40.xml><?xml version="1.0" encoding="utf-8"?>
<table xmlns="http://schemas.openxmlformats.org/spreadsheetml/2006/main" id="29" name="COSTS_Archer_Queen" displayName="COSTS_Archer_Queen" ref="D106:F146" totalsRowShown="0" headerRowDxfId="174" dataDxfId="172" headerRowBorderDxfId="173" tableBorderDxfId="171" totalsRowBorderDxfId="170">
  <autoFilter ref="D106:F146"/>
  <tableColumns count="3">
    <tableColumn id="1" name="LVL" dataDxfId="169"/>
    <tableColumn id="2" name="Coût" dataDxfId="168"/>
    <tableColumn id="4" name="Time" dataDxfId="167"/>
  </tableColumns>
  <tableStyleInfo name="TableStyleMedium9" showFirstColumn="0" showLastColumn="0" showRowStripes="1" showColumnStripes="0"/>
</table>
</file>

<file path=xl/tables/table41.xml><?xml version="1.0" encoding="utf-8"?>
<table xmlns="http://schemas.openxmlformats.org/spreadsheetml/2006/main" id="31" name="COSTS_Town_Home" displayName="COSTS_Town_Home" ref="D55:F65" totalsRowShown="0" headerRowDxfId="166" dataDxfId="164" headerRowBorderDxfId="165" tableBorderDxfId="163" totalsRowBorderDxfId="162">
  <autoFilter ref="D55:F65"/>
  <tableColumns count="3">
    <tableColumn id="1" name="LVL" dataDxfId="161"/>
    <tableColumn id="2" name="Coût" dataDxfId="160"/>
    <tableColumn id="4" name="Time" dataDxfId="159"/>
  </tableColumns>
  <tableStyleInfo name="TableStyleMedium9" showFirstColumn="0" showLastColumn="0" showRowStripes="1" showColumnStripes="0"/>
</table>
</file>

<file path=xl/tables/table42.xml><?xml version="1.0" encoding="utf-8"?>
<table xmlns="http://schemas.openxmlformats.org/spreadsheetml/2006/main" id="53" name="COSTS_Balloon" displayName="COSTS_Balloon" ref="P83:R89" totalsRowShown="0" headerRowDxfId="158" dataDxfId="156" headerRowBorderDxfId="157" tableBorderDxfId="155">
  <autoFilter ref="P83:R89"/>
  <tableColumns count="3">
    <tableColumn id="1" name="LVL" dataDxfId="154"/>
    <tableColumn id="2" name="Coût" dataDxfId="153"/>
    <tableColumn id="3" name="Time" dataDxfId="152"/>
  </tableColumns>
  <tableStyleInfo name="TableStyleMedium9" showFirstColumn="0" showLastColumn="0" showRowStripes="1" showColumnStripes="0"/>
</table>
</file>

<file path=xl/tables/table43.xml><?xml version="1.0" encoding="utf-8"?>
<table xmlns="http://schemas.openxmlformats.org/spreadsheetml/2006/main" id="54" name="COSTS_Giant" displayName="COSTS_Giant" ref="J83:L89" totalsRowShown="0" headerRowDxfId="151" dataDxfId="149" headerRowBorderDxfId="150" tableBorderDxfId="148">
  <autoFilter ref="J83:L89"/>
  <tableColumns count="3">
    <tableColumn id="1" name="LVL" dataDxfId="147"/>
    <tableColumn id="2" name="Coût" dataDxfId="146"/>
    <tableColumn id="4" name="Time" dataDxfId="145"/>
  </tableColumns>
  <tableStyleInfo name="TableStyleMedium9" showFirstColumn="0" showLastColumn="0" showRowStripes="1" showColumnStripes="0"/>
</table>
</file>

<file path=xl/tables/table44.xml><?xml version="1.0" encoding="utf-8"?>
<table xmlns="http://schemas.openxmlformats.org/spreadsheetml/2006/main" id="55" name="COSTS_Wall_Breaker" displayName="COSTS_Wall_Breaker" ref="M83:O88" totalsRowShown="0" headerRowDxfId="144" dataDxfId="142" headerRowBorderDxfId="143" tableBorderDxfId="141">
  <autoFilter ref="M83:O88"/>
  <tableColumns count="3">
    <tableColumn id="1" name="LVL" dataDxfId="140"/>
    <tableColumn id="2" name="Coût" dataDxfId="139"/>
    <tableColumn id="4" name="Time" dataDxfId="138"/>
  </tableColumns>
  <tableStyleInfo name="TableStyleMedium9" showFirstColumn="0" showLastColumn="0" showRowStripes="1" showColumnStripes="0"/>
</table>
</file>

<file path=xl/tables/table45.xml><?xml version="1.0" encoding="utf-8"?>
<table xmlns="http://schemas.openxmlformats.org/spreadsheetml/2006/main" id="56" name="COSTS_Barbarian" displayName="COSTS_Barbarian" ref="A83:C89" totalsRowShown="0" headerRowDxfId="137" dataDxfId="135" headerRowBorderDxfId="136" tableBorderDxfId="134" totalsRowBorderDxfId="133">
  <autoFilter ref="A83:C89"/>
  <tableColumns count="3">
    <tableColumn id="1" name="LVL" dataDxfId="132"/>
    <tableColumn id="2" name="Coût" dataDxfId="131"/>
    <tableColumn id="4" name="Time" dataDxfId="130"/>
  </tableColumns>
  <tableStyleInfo name="TableStyleMedium9" showFirstColumn="0" showLastColumn="0" showRowStripes="1" showColumnStripes="0"/>
</table>
</file>

<file path=xl/tables/table46.xml><?xml version="1.0" encoding="utf-8"?>
<table xmlns="http://schemas.openxmlformats.org/spreadsheetml/2006/main" id="58" name="COSTS_Archer" displayName="COSTS_Archer" ref="D83:F89" totalsRowShown="0" headerRowDxfId="129" dataDxfId="127" headerRowBorderDxfId="128" tableBorderDxfId="126" totalsRowBorderDxfId="125">
  <autoFilter ref="D83:F89"/>
  <tableColumns count="3">
    <tableColumn id="1" name="LVL" dataDxfId="124"/>
    <tableColumn id="2" name="Coût" dataDxfId="123"/>
    <tableColumn id="4" name="Time" dataDxfId="122"/>
  </tableColumns>
  <tableStyleInfo name="TableStyleMedium9" showFirstColumn="0" showLastColumn="0" showRowStripes="1" showColumnStripes="0"/>
</table>
</file>

<file path=xl/tables/table47.xml><?xml version="1.0" encoding="utf-8"?>
<table xmlns="http://schemas.openxmlformats.org/spreadsheetml/2006/main" id="59" name="COSTS_Goblin" displayName="COSTS_Goblin" ref="G83:I88" totalsRowShown="0" headerRowDxfId="121" dataDxfId="119" headerRowBorderDxfId="120" tableBorderDxfId="118" totalsRowBorderDxfId="117">
  <autoFilter ref="G83:I88"/>
  <tableColumns count="3">
    <tableColumn id="1" name="LVL" dataDxfId="116"/>
    <tableColumn id="2" name="Coût" dataDxfId="115"/>
    <tableColumn id="4" name="Time" dataDxfId="114"/>
  </tableColumns>
  <tableStyleInfo name="TableStyleMedium9" showFirstColumn="0" showLastColumn="0" showRowStripes="1" showColumnStripes="0"/>
</table>
</file>

<file path=xl/tables/table48.xml><?xml version="1.0" encoding="utf-8"?>
<table xmlns="http://schemas.openxmlformats.org/spreadsheetml/2006/main" id="61" name="COSTS_Wizard" displayName="COSTS_Wizard" ref="S83:U88" totalsRowShown="0" headerRowDxfId="113" dataDxfId="111" headerRowBorderDxfId="112" tableBorderDxfId="110" totalsRowBorderDxfId="109">
  <autoFilter ref="S83:U88"/>
  <tableColumns count="3">
    <tableColumn id="1" name="LVL" dataDxfId="108"/>
    <tableColumn id="2" name="Coût" dataDxfId="107"/>
    <tableColumn id="4" name="Time" dataDxfId="106"/>
  </tableColumns>
  <tableStyleInfo name="TableStyleMedium9" showFirstColumn="0" showLastColumn="0" showRowStripes="1" showColumnStripes="0"/>
</table>
</file>

<file path=xl/tables/table49.xml><?xml version="1.0" encoding="utf-8"?>
<table xmlns="http://schemas.openxmlformats.org/spreadsheetml/2006/main" id="62" name="COSTS_Healer" displayName="COSTS_Healer" ref="V83:X87" totalsRowShown="0" headerRowDxfId="105" dataDxfId="103" headerRowBorderDxfId="104" tableBorderDxfId="102" totalsRowBorderDxfId="101">
  <autoFilter ref="V83:X87"/>
  <tableColumns count="3">
    <tableColumn id="1" name="LVL" dataDxfId="100"/>
    <tableColumn id="2" name="Coût" dataDxfId="99"/>
    <tableColumn id="4" name="Time" dataDxfId="98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47" name="CHANGES_Buildings_Other" displayName="CHANGES_Buildings_Other" ref="G47:K58" totalsRowShown="0" headerRowDxfId="546" dataDxfId="544" headerRowBorderDxfId="545" tableBorderDxfId="543">
  <autoFilter ref="G47:K58"/>
  <tableColumns count="5">
    <tableColumn id="1" name="TH Level" dataDxfId="542"/>
    <tableColumn id="24" name="Château de Clan" dataDxfId="541"/>
    <tableColumn id="25" name="LVL Max" dataDxfId="540"/>
    <tableColumn id="26" name="Hôtel de Ville" dataDxfId="539">
      <calculatedColumnFormula>D48-D47</calculatedColumnFormula>
    </tableColumn>
    <tableColumn id="27" name="LVL Max2" dataDxfId="538">
      <calculatedColumnFormula>E48-E47</calculatedColumnFormula>
    </tableColumn>
  </tableColumns>
  <tableStyleInfo name="TableStyleMedium9" showFirstColumn="0" showLastColumn="0" showRowStripes="1" showColumnStripes="0"/>
</table>
</file>

<file path=xl/tables/table50.xml><?xml version="1.0" encoding="utf-8"?>
<table xmlns="http://schemas.openxmlformats.org/spreadsheetml/2006/main" id="63" name="COSTS_Dragon" displayName="COSTS_Dragon" ref="Y83:AA87" totalsRowShown="0" headerRowDxfId="97" dataDxfId="95" headerRowBorderDxfId="96" tableBorderDxfId="94" totalsRowBorderDxfId="93">
  <autoFilter ref="Y83:AA87"/>
  <tableColumns count="3">
    <tableColumn id="1" name="LVL" dataDxfId="92"/>
    <tableColumn id="2" name="Coût" dataDxfId="91"/>
    <tableColumn id="4" name="Time" dataDxfId="90"/>
  </tableColumns>
  <tableStyleInfo name="TableStyleMedium9" showFirstColumn="0" showLastColumn="0" showRowStripes="1" showColumnStripes="0"/>
</table>
</file>

<file path=xl/tables/table51.xml><?xml version="1.0" encoding="utf-8"?>
<table xmlns="http://schemas.openxmlformats.org/spreadsheetml/2006/main" id="66" name="COSTS_PEKKA" displayName="COSTS_PEKKA" ref="AB83:AD87" totalsRowShown="0" headerRowDxfId="89" dataDxfId="87" headerRowBorderDxfId="88" tableBorderDxfId="86" totalsRowBorderDxfId="85">
  <autoFilter ref="AB83:AD87"/>
  <tableColumns count="3">
    <tableColumn id="1" name="LVL" dataDxfId="84"/>
    <tableColumn id="2" name="Coût" dataDxfId="83"/>
    <tableColumn id="4" name="Time" dataDxfId="82"/>
  </tableColumns>
  <tableStyleInfo name="TableStyleMedium9" showFirstColumn="0" showLastColumn="0" showRowStripes="1" showColumnStripes="0"/>
</table>
</file>

<file path=xl/tables/table52.xml><?xml version="1.0" encoding="utf-8"?>
<table xmlns="http://schemas.openxmlformats.org/spreadsheetml/2006/main" id="34" name="COSTS_Spell_Lightning" displayName="COSTS_Spell_Lightning" ref="A71:C77" totalsRowShown="0" headerRowDxfId="81" dataDxfId="79" headerRowBorderDxfId="80" tableBorderDxfId="78" totalsRowBorderDxfId="77">
  <autoFilter ref="A71:C77"/>
  <tableColumns count="3">
    <tableColumn id="1" name="LVL" dataDxfId="76"/>
    <tableColumn id="2" name="Coût" dataDxfId="75"/>
    <tableColumn id="4" name="Time" dataDxfId="74"/>
  </tableColumns>
  <tableStyleInfo name="TableStyleMedium9" showFirstColumn="0" showLastColumn="0" showRowStripes="1" showColumnStripes="0"/>
</table>
</file>

<file path=xl/tables/table53.xml><?xml version="1.0" encoding="utf-8"?>
<table xmlns="http://schemas.openxmlformats.org/spreadsheetml/2006/main" id="35" name="COSTS_Spell_Healing" displayName="COSTS_Spell_Healing" ref="D71:F77" totalsRowShown="0" headerRowDxfId="73" dataDxfId="71" headerRowBorderDxfId="72" tableBorderDxfId="70" totalsRowBorderDxfId="69">
  <autoFilter ref="D71:F77"/>
  <tableColumns count="3">
    <tableColumn id="1" name="LVL" dataDxfId="68"/>
    <tableColumn id="2" name="Coût" dataDxfId="67"/>
    <tableColumn id="4" name="Time" dataDxfId="66"/>
  </tableColumns>
  <tableStyleInfo name="TableStyleMedium9" showFirstColumn="0" showLastColumn="0" showRowStripes="1" showColumnStripes="0"/>
</table>
</file>

<file path=xl/tables/table54.xml><?xml version="1.0" encoding="utf-8"?>
<table xmlns="http://schemas.openxmlformats.org/spreadsheetml/2006/main" id="36" name="COSTS_Spell_Rage" displayName="COSTS_Spell_Rage" ref="G71:I76" totalsRowShown="0" headerRowDxfId="65" dataDxfId="63" headerRowBorderDxfId="64" tableBorderDxfId="62" totalsRowBorderDxfId="61">
  <autoFilter ref="G71:I76"/>
  <tableColumns count="3">
    <tableColumn id="1" name="LVL" dataDxfId="60"/>
    <tableColumn id="2" name="Coût" dataDxfId="59"/>
    <tableColumn id="4" name="Time" dataDxfId="58"/>
  </tableColumns>
  <tableStyleInfo name="TableStyleMedium9" showFirstColumn="0" showLastColumn="0" showRowStripes="1" showColumnStripes="0"/>
</table>
</file>

<file path=xl/tables/table55.xml><?xml version="1.0" encoding="utf-8"?>
<table xmlns="http://schemas.openxmlformats.org/spreadsheetml/2006/main" id="37" name="COSTS_Spell_Jump" displayName="COSTS_Spell_Jump" ref="J71:L73" totalsRowShown="0" headerRowDxfId="57" dataDxfId="55" headerRowBorderDxfId="56" tableBorderDxfId="54" totalsRowBorderDxfId="53">
  <autoFilter ref="J71:L73"/>
  <tableColumns count="3">
    <tableColumn id="1" name="LVL" dataDxfId="52"/>
    <tableColumn id="2" name="Coût" dataDxfId="51"/>
    <tableColumn id="4" name="Time" dataDxfId="50"/>
  </tableColumns>
  <tableStyleInfo name="TableStyleMedium9" showFirstColumn="0" showLastColumn="0" showRowStripes="1" showColumnStripes="0"/>
</table>
</file>

<file path=xl/tables/table56.xml><?xml version="1.0" encoding="utf-8"?>
<table xmlns="http://schemas.openxmlformats.org/spreadsheetml/2006/main" id="41" name="COSTS_Golem" displayName="COSTS_Golem" ref="J95:L100" totalsRowShown="0" headerRowDxfId="49" dataDxfId="47" headerRowBorderDxfId="48" tableBorderDxfId="46">
  <autoFilter ref="J95:L100"/>
  <tableColumns count="3">
    <tableColumn id="1" name="LVL" dataDxfId="45"/>
    <tableColumn id="2" name="Coût" dataDxfId="44"/>
    <tableColumn id="4" name="Time" dataDxfId="43"/>
  </tableColumns>
  <tableStyleInfo name="TableStyleMedium9" showFirstColumn="0" showLastColumn="0" showRowStripes="1" showColumnStripes="0"/>
</table>
</file>

<file path=xl/tables/table57.xml><?xml version="1.0" encoding="utf-8"?>
<table xmlns="http://schemas.openxmlformats.org/spreadsheetml/2006/main" id="43" name="COSTS_Minion" displayName="COSTS_Minion" ref="A95:C100" totalsRowShown="0" headerRowDxfId="42" dataDxfId="40" headerRowBorderDxfId="41" tableBorderDxfId="39" totalsRowBorderDxfId="38">
  <autoFilter ref="A95:C100"/>
  <tableColumns count="3">
    <tableColumn id="1" name="LVL" dataDxfId="37"/>
    <tableColumn id="2" name="Coût" dataDxfId="36"/>
    <tableColumn id="4" name="Time" dataDxfId="35"/>
  </tableColumns>
  <tableStyleInfo name="TableStyleMedium9" showFirstColumn="0" showLastColumn="0" showRowStripes="1" showColumnStripes="0"/>
</table>
</file>

<file path=xl/tables/table58.xml><?xml version="1.0" encoding="utf-8"?>
<table xmlns="http://schemas.openxmlformats.org/spreadsheetml/2006/main" id="44" name="COSTS_Hog_Rider" displayName="COSTS_Hog_Rider" ref="D95:F100" totalsRowShown="0" headerRowDxfId="34" dataDxfId="32" headerRowBorderDxfId="33" tableBorderDxfId="31" totalsRowBorderDxfId="30">
  <autoFilter ref="D95:F100"/>
  <tableColumns count="3">
    <tableColumn id="1" name="LVL" dataDxfId="29"/>
    <tableColumn id="2" name="Coût" dataDxfId="28"/>
    <tableColumn id="4" name="Time" dataDxfId="27"/>
  </tableColumns>
  <tableStyleInfo name="TableStyleMedium9" showFirstColumn="0" showLastColumn="0" showRowStripes="1" showColumnStripes="0"/>
</table>
</file>

<file path=xl/tables/table59.xml><?xml version="1.0" encoding="utf-8"?>
<table xmlns="http://schemas.openxmlformats.org/spreadsheetml/2006/main" id="45" name="COSTS_Valkyrie" displayName="COSTS_Valkyrie" ref="G95:I99" totalsRowShown="0" headerRowDxfId="26" dataDxfId="24" headerRowBorderDxfId="25" tableBorderDxfId="23" totalsRowBorderDxfId="22">
  <autoFilter ref="G95:I99"/>
  <tableColumns count="3">
    <tableColumn id="1" name="LVL" dataDxfId="21"/>
    <tableColumn id="2" name="Coût" dataDxfId="20"/>
    <tableColumn id="4" name="Time" dataDxfId="1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48" name="AVAILABLE_Buildings_Other" displayName="AVAILABLE_Buildings_Other" ref="A47:E58" totalsRowShown="0" headerRowDxfId="537" dataDxfId="535" headerRowBorderDxfId="536" tableBorderDxfId="534">
  <autoFilter ref="A47:E58"/>
  <tableColumns count="5">
    <tableColumn id="1" name="TH Level" dataDxfId="533"/>
    <tableColumn id="24" name="Château de Clan" dataDxfId="532"/>
    <tableColumn id="25" name="LVL Max" dataDxfId="531"/>
    <tableColumn id="26" name="Hôtel de Ville" dataDxfId="530"/>
    <tableColumn id="27" name="LVL Max2" dataDxfId="529"/>
  </tableColumns>
  <tableStyleInfo name="TableStyleMedium9" showFirstColumn="0" showLastColumn="0" showRowStripes="1" showColumnStripes="0"/>
</table>
</file>

<file path=xl/tables/table60.xml><?xml version="1.0" encoding="utf-8"?>
<table xmlns="http://schemas.openxmlformats.org/spreadsheetml/2006/main" id="40" name="COSTS_Spell_Freeze" displayName="COSTS_Spell_Freeze" ref="M71:O73" totalsRowShown="0" headerRowDxfId="18" dataDxfId="16" headerRowBorderDxfId="17" tableBorderDxfId="15" totalsRowBorderDxfId="14">
  <autoFilter ref="M71:O73"/>
  <tableColumns count="3">
    <tableColumn id="1" name="LVL" dataDxfId="13"/>
    <tableColumn id="2" name="Coût" dataDxfId="12"/>
    <tableColumn id="4" name="Time" dataDxfId="11"/>
  </tableColumns>
  <tableStyleInfo name="TableStyleMedium9" showFirstColumn="0" showLastColumn="0" showRowStripes="1" showColumnStripes="0"/>
</table>
</file>

<file path=xl/tables/table61.xml><?xml version="1.0" encoding="utf-8"?>
<table xmlns="http://schemas.openxmlformats.org/spreadsheetml/2006/main" id="49" name="Tableau49" displayName="Tableau49" ref="A2:D13" totalsRowShown="0" headerRowDxfId="8" dataDxfId="6" headerRowBorderDxfId="7" tableBorderDxfId="5" totalsRowBorderDxfId="4">
  <autoFilter ref="A2:D13"/>
  <tableColumns count="4">
    <tableColumn id="1" name="Version" dataDxfId="3"/>
    <tableColumn id="2" name="Nom du Fichier" dataDxfId="2">
      <calculatedColumnFormula>"COC - Cost &amp; Time Calcultator " &amp; A3 &amp; ".xlsx"</calculatedColumnFormula>
    </tableColumn>
    <tableColumn id="3" name="Description" dataDxfId="1"/>
    <tableColumn id="4" name="Télécharger" dataDxfId="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" name="AVAILABLE_Buildings_Defensive" displayName="AVAILABLE_Buildings_Defensive" ref="A32:S43" totalsRowShown="0" headerRowDxfId="528" dataDxfId="526" headerRowBorderDxfId="527" tableBorderDxfId="525">
  <autoFilter ref="A32:S43"/>
  <tableColumns count="19">
    <tableColumn id="1" name="TH Level" dataDxfId="524"/>
    <tableColumn id="2" name="Rempart" dataDxfId="523"/>
    <tableColumn id="3" name="LVL Max" dataDxfId="522"/>
    <tableColumn id="4" name="Canon" dataDxfId="521"/>
    <tableColumn id="5" name="LVL Max2" dataDxfId="520"/>
    <tableColumn id="6" name="Tour d'Archers" dataDxfId="519"/>
    <tableColumn id="7" name="LVL Max3" dataDxfId="518"/>
    <tableColumn id="8" name="Mortier" dataDxfId="517"/>
    <tableColumn id="9" name="LVL Max4" dataDxfId="516"/>
    <tableColumn id="10" name="Défense Antiaérienne" dataDxfId="515"/>
    <tableColumn id="11" name="LVL Max5" dataDxfId="514"/>
    <tableColumn id="12" name="Tour de Sorcier" dataDxfId="513"/>
    <tableColumn id="13" name="LVL Max6" dataDxfId="512"/>
    <tableColumn id="14" name="Tesla Camouflée" dataDxfId="511"/>
    <tableColumn id="15" name="LVL Max7" dataDxfId="510"/>
    <tableColumn id="16" name="Arc-X" dataDxfId="509"/>
    <tableColumn id="17" name="LVL Max8" dataDxfId="508"/>
    <tableColumn id="18" name="Tour de l'Enfer" dataDxfId="507"/>
    <tableColumn id="19" name="LVL Max9" dataDxfId="50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2" name="AVAILABLE_Traps" displayName="AVAILABLE_Traps" ref="T32:X43" totalsRowShown="0" headerRowDxfId="505" dataDxfId="503" headerRowBorderDxfId="504" tableBorderDxfId="502">
  <autoFilter ref="T32:X43"/>
  <tableColumns count="5">
    <tableColumn id="1" name="Bombe" dataDxfId="501"/>
    <tableColumn id="2" name="P. à ressort" dataDxfId="500"/>
    <tableColumn id="3" name="Bobme Géante" dataDxfId="499"/>
    <tableColumn id="4" name="Bobm Aérienne" dataDxfId="498"/>
    <tableColumn id="5" name="Tête Chercheuse" dataDxfId="497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3" name="CHANGES_Buildings_Defensive" displayName="CHANGES_Buildings_Defensive" ref="AA32:AX43" totalsRowShown="0" headerRowDxfId="496" dataDxfId="494" headerRowBorderDxfId="495" tableBorderDxfId="493">
  <autoFilter ref="AA32:AX43"/>
  <tableColumns count="24">
    <tableColumn id="1" name="TH Level" dataDxfId="492"/>
    <tableColumn id="2" name="Rempart" dataDxfId="491">
      <calculatedColumnFormula>"+"&amp;Bâtiments!B34-Bâtiments!B32</calculatedColumnFormula>
    </tableColumn>
    <tableColumn id="3" name="LVL Max" dataDxfId="490">
      <calculatedColumnFormula>"+"&amp;Bâtiments!C34-Bâtiments!C32</calculatedColumnFormula>
    </tableColumn>
    <tableColumn id="4" name="Canon" dataDxfId="489"/>
    <tableColumn id="5" name="LVL Max2" dataDxfId="488"/>
    <tableColumn id="6" name="Tour d'Archers" dataDxfId="487"/>
    <tableColumn id="7" name="LVL Max3" dataDxfId="486"/>
    <tableColumn id="8" name="Mortier" dataDxfId="485"/>
    <tableColumn id="9" name="LVL Max4" dataDxfId="484"/>
    <tableColumn id="10" name="Défense Antiaérienne" dataDxfId="483"/>
    <tableColumn id="11" name="LVL Max5" dataDxfId="482"/>
    <tableColumn id="12" name="Tour de Sorcier" dataDxfId="481"/>
    <tableColumn id="13" name="LVL Max6" dataDxfId="480"/>
    <tableColumn id="14" name="Tesla Camouflée" dataDxfId="479"/>
    <tableColumn id="15" name="LVL Max7" dataDxfId="478"/>
    <tableColumn id="16" name="Arc-X" dataDxfId="477"/>
    <tableColumn id="17" name="LVL Max8" dataDxfId="476"/>
    <tableColumn id="18" name="Tour de l'Enfer" dataDxfId="475"/>
    <tableColumn id="19" name="LVL Max9" dataDxfId="474"/>
    <tableColumn id="20" name="Bombe" dataDxfId="473"/>
    <tableColumn id="22" name="P. à ressort" dataDxfId="472"/>
    <tableColumn id="24" name="Bobme Géante" dataDxfId="471"/>
    <tableColumn id="21" name="Bobm Aérienne" dataDxfId="470"/>
    <tableColumn id="23" name="Tête Chercheuse" dataDxfId="46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13" Type="http://schemas.openxmlformats.org/officeDocument/2006/relationships/table" Target="../tables/table29.xml"/><Relationship Id="rId18" Type="http://schemas.openxmlformats.org/officeDocument/2006/relationships/table" Target="../tables/table34.xml"/><Relationship Id="rId26" Type="http://schemas.openxmlformats.org/officeDocument/2006/relationships/table" Target="../tables/table42.xml"/><Relationship Id="rId39" Type="http://schemas.openxmlformats.org/officeDocument/2006/relationships/table" Target="../tables/table55.xml"/><Relationship Id="rId3" Type="http://schemas.openxmlformats.org/officeDocument/2006/relationships/table" Target="../tables/table19.xml"/><Relationship Id="rId21" Type="http://schemas.openxmlformats.org/officeDocument/2006/relationships/table" Target="../tables/table37.xml"/><Relationship Id="rId34" Type="http://schemas.openxmlformats.org/officeDocument/2006/relationships/table" Target="../tables/table50.xml"/><Relationship Id="rId42" Type="http://schemas.openxmlformats.org/officeDocument/2006/relationships/table" Target="../tables/table58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17" Type="http://schemas.openxmlformats.org/officeDocument/2006/relationships/table" Target="../tables/table33.xml"/><Relationship Id="rId25" Type="http://schemas.openxmlformats.org/officeDocument/2006/relationships/table" Target="../tables/table41.xml"/><Relationship Id="rId33" Type="http://schemas.openxmlformats.org/officeDocument/2006/relationships/table" Target="../tables/table49.xml"/><Relationship Id="rId38" Type="http://schemas.openxmlformats.org/officeDocument/2006/relationships/table" Target="../tables/table54.xml"/><Relationship Id="rId2" Type="http://schemas.openxmlformats.org/officeDocument/2006/relationships/table" Target="../tables/table18.xml"/><Relationship Id="rId16" Type="http://schemas.openxmlformats.org/officeDocument/2006/relationships/table" Target="../tables/table32.xml"/><Relationship Id="rId20" Type="http://schemas.openxmlformats.org/officeDocument/2006/relationships/table" Target="../tables/table36.xml"/><Relationship Id="rId29" Type="http://schemas.openxmlformats.org/officeDocument/2006/relationships/table" Target="../tables/table45.xml"/><Relationship Id="rId41" Type="http://schemas.openxmlformats.org/officeDocument/2006/relationships/table" Target="../tables/table57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24" Type="http://schemas.openxmlformats.org/officeDocument/2006/relationships/table" Target="../tables/table40.xml"/><Relationship Id="rId32" Type="http://schemas.openxmlformats.org/officeDocument/2006/relationships/table" Target="../tables/table48.xml"/><Relationship Id="rId37" Type="http://schemas.openxmlformats.org/officeDocument/2006/relationships/table" Target="../tables/table53.xml"/><Relationship Id="rId40" Type="http://schemas.openxmlformats.org/officeDocument/2006/relationships/table" Target="../tables/table56.xml"/><Relationship Id="rId5" Type="http://schemas.openxmlformats.org/officeDocument/2006/relationships/table" Target="../tables/table21.xml"/><Relationship Id="rId15" Type="http://schemas.openxmlformats.org/officeDocument/2006/relationships/table" Target="../tables/table31.xml"/><Relationship Id="rId23" Type="http://schemas.openxmlformats.org/officeDocument/2006/relationships/table" Target="../tables/table39.xml"/><Relationship Id="rId28" Type="http://schemas.openxmlformats.org/officeDocument/2006/relationships/table" Target="../tables/table44.xml"/><Relationship Id="rId36" Type="http://schemas.openxmlformats.org/officeDocument/2006/relationships/table" Target="../tables/table52.xml"/><Relationship Id="rId10" Type="http://schemas.openxmlformats.org/officeDocument/2006/relationships/table" Target="../tables/table26.xml"/><Relationship Id="rId19" Type="http://schemas.openxmlformats.org/officeDocument/2006/relationships/table" Target="../tables/table35.xml"/><Relationship Id="rId31" Type="http://schemas.openxmlformats.org/officeDocument/2006/relationships/table" Target="../tables/table47.xml"/><Relationship Id="rId44" Type="http://schemas.openxmlformats.org/officeDocument/2006/relationships/table" Target="../tables/table60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Relationship Id="rId14" Type="http://schemas.openxmlformats.org/officeDocument/2006/relationships/table" Target="../tables/table30.xml"/><Relationship Id="rId22" Type="http://schemas.openxmlformats.org/officeDocument/2006/relationships/table" Target="../tables/table38.xml"/><Relationship Id="rId27" Type="http://schemas.openxmlformats.org/officeDocument/2006/relationships/table" Target="../tables/table43.xml"/><Relationship Id="rId30" Type="http://schemas.openxmlformats.org/officeDocument/2006/relationships/table" Target="../tables/table46.xml"/><Relationship Id="rId35" Type="http://schemas.openxmlformats.org/officeDocument/2006/relationships/table" Target="../tables/table51.xml"/><Relationship Id="rId43" Type="http://schemas.openxmlformats.org/officeDocument/2006/relationships/table" Target="../tables/table5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xls.lu/34ir" TargetMode="External"/><Relationship Id="rId3" Type="http://schemas.openxmlformats.org/officeDocument/2006/relationships/hyperlink" Target="http://xls.lu/46jK" TargetMode="External"/><Relationship Id="rId7" Type="http://schemas.openxmlformats.org/officeDocument/2006/relationships/hyperlink" Target="http://xls.lu/kHZg" TargetMode="External"/><Relationship Id="rId12" Type="http://schemas.openxmlformats.org/officeDocument/2006/relationships/table" Target="../tables/table61.xml"/><Relationship Id="rId2" Type="http://schemas.openxmlformats.org/officeDocument/2006/relationships/hyperlink" Target="http://xls.lu/5u0X" TargetMode="External"/><Relationship Id="rId1" Type="http://schemas.openxmlformats.org/officeDocument/2006/relationships/hyperlink" Target="http://xls.lu/awMM" TargetMode="External"/><Relationship Id="rId6" Type="http://schemas.openxmlformats.org/officeDocument/2006/relationships/hyperlink" Target="http://xls.lu/5Oo3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://xls.lu/6W59" TargetMode="External"/><Relationship Id="rId10" Type="http://schemas.openxmlformats.org/officeDocument/2006/relationships/hyperlink" Target="http://xls.lu/aBod" TargetMode="External"/><Relationship Id="rId4" Type="http://schemas.openxmlformats.org/officeDocument/2006/relationships/hyperlink" Target="http://xls.lu/MQ5f" TargetMode="External"/><Relationship Id="rId9" Type="http://schemas.openxmlformats.org/officeDocument/2006/relationships/hyperlink" Target="http://xls.lu/D7n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4" tint="-0.249977111117893"/>
  </sheetPr>
  <dimension ref="A1:AB326"/>
  <sheetViews>
    <sheetView showGridLines="0" zoomScaleNormal="100" workbookViewId="0">
      <pane ySplit="2" topLeftCell="A3" activePane="bottomLeft" state="frozen"/>
      <selection activeCell="I50" sqref="I50"/>
      <selection pane="bottomLeft" sqref="A1:B2"/>
    </sheetView>
  </sheetViews>
  <sheetFormatPr baseColWidth="10" defaultRowHeight="15" customHeight="1" x14ac:dyDescent="0.25"/>
  <cols>
    <col min="1" max="6" width="6.7109375" style="303" customWidth="1"/>
    <col min="7" max="7" width="6.7109375" style="300" customWidth="1"/>
    <col min="8" max="9" width="8.7109375" style="300" customWidth="1"/>
    <col min="10" max="11" width="10.7109375" style="300" customWidth="1"/>
    <col min="12" max="18" width="6.7109375" style="300" customWidth="1"/>
    <col min="19" max="20" width="8.7109375" style="300" customWidth="1"/>
    <col min="21" max="23" width="10.7109375" style="300" customWidth="1"/>
    <col min="24" max="16384" width="11.42578125" style="300"/>
  </cols>
  <sheetData>
    <row r="1" spans="1:22" ht="15" customHeight="1" x14ac:dyDescent="0.25">
      <c r="A1" s="450">
        <f>Paramètres!$AV$2</f>
        <v>7</v>
      </c>
      <c r="B1" s="451"/>
      <c r="C1" s="460" t="str">
        <f>'À FAIRE - Sommaire'!D1</f>
        <v>Or Total:
48 804 000</v>
      </c>
      <c r="D1" s="461"/>
      <c r="E1" s="462"/>
      <c r="F1" s="454" t="str">
        <f>'À FAIRE - Sommaire'!G1</f>
        <v>Élixir Total:
19 400 000</v>
      </c>
      <c r="G1" s="455"/>
      <c r="H1" s="456"/>
      <c r="I1" s="466" t="str">
        <f>'À FAIRE - Sommaire'!I1</f>
        <v>Élixir Noir Total:
105 000</v>
      </c>
      <c r="J1" s="467"/>
      <c r="K1" s="470" t="str">
        <f>'À FAIRE - Sommaire'!L1</f>
        <v>Temps Total:
157 jours 0 hrs 0 mins</v>
      </c>
      <c r="L1" s="471"/>
      <c r="M1" s="471"/>
      <c r="N1" s="474" t="str">
        <f>'À FAIRE - Sommaire'!N1</f>
        <v>Bâtiments: 9 331 200 secondes</v>
      </c>
      <c r="O1" s="475"/>
      <c r="P1" s="475"/>
      <c r="Q1" s="475"/>
      <c r="R1" s="425" t="str">
        <f>'À FAIRE - Sommaire'!S1</f>
        <v>=&gt; Temps par Ouvrier
22 jours 14 hrs 24 mins</v>
      </c>
      <c r="S1" s="426"/>
      <c r="T1" s="427"/>
      <c r="U1" s="478" t="str">
        <f>'À FAIRE - Sommaire'!V1</f>
        <v>Amélior. Troupes/Sorts.:
757 jours 0 hrs 0 mins</v>
      </c>
      <c r="V1" s="479"/>
    </row>
    <row r="2" spans="1:22" ht="15" customHeight="1" thickBot="1" x14ac:dyDescent="0.3">
      <c r="A2" s="452"/>
      <c r="B2" s="453"/>
      <c r="C2" s="463"/>
      <c r="D2" s="464"/>
      <c r="E2" s="465"/>
      <c r="F2" s="457"/>
      <c r="G2" s="458"/>
      <c r="H2" s="459"/>
      <c r="I2" s="468"/>
      <c r="J2" s="469"/>
      <c r="K2" s="472"/>
      <c r="L2" s="473"/>
      <c r="M2" s="473"/>
      <c r="N2" s="476" t="str">
        <f>'À FAIRE - Sommaire'!N2</f>
        <v>Héros: 5 jours 0 hrs 0 mins</v>
      </c>
      <c r="O2" s="477"/>
      <c r="P2" s="477"/>
      <c r="Q2" s="477"/>
      <c r="R2" s="428"/>
      <c r="S2" s="429"/>
      <c r="T2" s="430"/>
      <c r="U2" s="480"/>
      <c r="V2" s="481"/>
    </row>
    <row r="3" spans="1:22" ht="30" customHeight="1" thickBot="1" x14ac:dyDescent="0.3">
      <c r="A3" s="410" t="s">
        <v>56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2"/>
      <c r="O3" s="412"/>
      <c r="P3" s="412"/>
      <c r="Q3" s="412"/>
      <c r="R3" s="412"/>
      <c r="S3" s="412"/>
      <c r="T3" s="412"/>
      <c r="U3" s="412"/>
      <c r="V3" s="413"/>
    </row>
    <row r="4" spans="1:22" ht="20.100000000000001" customHeight="1" thickBot="1" x14ac:dyDescent="0.3">
      <c r="A4" s="438" t="s">
        <v>77</v>
      </c>
      <c r="B4" s="439"/>
      <c r="C4" s="439"/>
      <c r="D4" s="439"/>
      <c r="E4" s="439"/>
      <c r="F4" s="442"/>
      <c r="G4" s="442"/>
      <c r="H4" s="442"/>
      <c r="I4" s="442"/>
      <c r="J4" s="442"/>
      <c r="K4" s="443"/>
      <c r="L4" s="431" t="s">
        <v>76</v>
      </c>
      <c r="M4" s="432"/>
      <c r="N4" s="432"/>
      <c r="O4" s="432"/>
      <c r="P4" s="432"/>
      <c r="Q4" s="432"/>
      <c r="R4" s="432"/>
      <c r="S4" s="432"/>
      <c r="T4" s="432"/>
      <c r="U4" s="432"/>
      <c r="V4" s="433"/>
    </row>
    <row r="5" spans="1:22" ht="15" customHeight="1" x14ac:dyDescent="0.25">
      <c r="A5" s="414" t="s">
        <v>105</v>
      </c>
      <c r="B5" s="415"/>
      <c r="C5" s="416"/>
      <c r="D5" s="164" t="s">
        <v>16</v>
      </c>
      <c r="E5" s="165" t="s">
        <v>17</v>
      </c>
      <c r="F5" s="166"/>
      <c r="G5" s="167"/>
      <c r="H5" s="168"/>
      <c r="I5" s="164" t="s">
        <v>91</v>
      </c>
      <c r="J5" s="169" t="s">
        <v>90</v>
      </c>
      <c r="K5" s="165" t="s">
        <v>92</v>
      </c>
      <c r="L5" s="414" t="s">
        <v>106</v>
      </c>
      <c r="M5" s="415"/>
      <c r="N5" s="416"/>
      <c r="O5" s="164" t="s">
        <v>16</v>
      </c>
      <c r="P5" s="165" t="s">
        <v>17</v>
      </c>
      <c r="Q5" s="166"/>
      <c r="R5" s="167"/>
      <c r="S5" s="168"/>
      <c r="T5" s="164" t="s">
        <v>91</v>
      </c>
      <c r="U5" s="169" t="s">
        <v>90</v>
      </c>
      <c r="V5" s="165" t="s">
        <v>92</v>
      </c>
    </row>
    <row r="6" spans="1:22" ht="15" customHeight="1" thickBot="1" x14ac:dyDescent="0.3">
      <c r="A6" s="417"/>
      <c r="B6" s="418"/>
      <c r="C6" s="419"/>
      <c r="D6" s="183">
        <f>VLOOKUP($A$1,AVAILABLE_Buildings_Resource[#All],MATCH(A5,AVAILABLE_Buildings_Resource[#Headers],0))</f>
        <v>6</v>
      </c>
      <c r="E6" s="184">
        <f>VLOOKUP($A$1,AVAILABLE_Buildings_Resource[#All],MATCH(A5,AVAILABLE_Buildings_Resource[#Headers],0)+1)</f>
        <v>11</v>
      </c>
      <c r="F6" s="185"/>
      <c r="G6" s="186"/>
      <c r="H6" s="187"/>
      <c r="I6" s="183">
        <f>IF(SUM(B8:B18)&gt;D6,"Error",SUM(B8:B18))</f>
        <v>6</v>
      </c>
      <c r="J6" s="188">
        <f>IF(I$6="Error","Error",D6-I6)</f>
        <v>0</v>
      </c>
      <c r="K6" s="189">
        <f>IF(I$6="Error","Error",SUM(F8:F18))</f>
        <v>0</v>
      </c>
      <c r="L6" s="417"/>
      <c r="M6" s="418"/>
      <c r="N6" s="419"/>
      <c r="O6" s="183">
        <f>VLOOKUP($A$1,AVAILABLE_Buildings_Resource[#All],MATCH(L5,AVAILABLE_Buildings_Resource[#Headers],0))</f>
        <v>6</v>
      </c>
      <c r="P6" s="184">
        <f>VLOOKUP($A$1,AVAILABLE_Buildings_Resource[#All],MATCH(L5,AVAILABLE_Buildings_Resource[#Headers],0)+1)</f>
        <v>11</v>
      </c>
      <c r="Q6" s="185"/>
      <c r="R6" s="186"/>
      <c r="S6" s="187"/>
      <c r="T6" s="183">
        <f>IF(SUM(M8:M18)&gt;O6,"Error",SUM(M8:M18))</f>
        <v>6</v>
      </c>
      <c r="U6" s="188">
        <f>IF(T$6="Error","Error",O6-T6)</f>
        <v>0</v>
      </c>
      <c r="V6" s="189">
        <f>IF(T$6="Error","Error",SUM(Q8:Q18))</f>
        <v>10</v>
      </c>
    </row>
    <row r="7" spans="1:22" ht="15" customHeight="1" thickBot="1" x14ac:dyDescent="0.3">
      <c r="A7" s="200" t="s">
        <v>14</v>
      </c>
      <c r="B7" s="201" t="s">
        <v>13</v>
      </c>
      <c r="C7" s="202"/>
      <c r="D7" s="202"/>
      <c r="E7" s="203"/>
      <c r="F7" s="204" t="s">
        <v>13</v>
      </c>
      <c r="G7" s="205" t="s">
        <v>14</v>
      </c>
      <c r="H7" s="206" t="s">
        <v>133</v>
      </c>
      <c r="I7" s="206" t="s">
        <v>134</v>
      </c>
      <c r="J7" s="206" t="s">
        <v>74</v>
      </c>
      <c r="K7" s="207" t="s">
        <v>75</v>
      </c>
      <c r="L7" s="200" t="s">
        <v>14</v>
      </c>
      <c r="M7" s="201" t="s">
        <v>13</v>
      </c>
      <c r="N7" s="202"/>
      <c r="O7" s="202"/>
      <c r="P7" s="203"/>
      <c r="Q7" s="208" t="s">
        <v>13</v>
      </c>
      <c r="R7" s="209" t="s">
        <v>14</v>
      </c>
      <c r="S7" s="206" t="s">
        <v>133</v>
      </c>
      <c r="T7" s="206" t="s">
        <v>134</v>
      </c>
      <c r="U7" s="206" t="s">
        <v>74</v>
      </c>
      <c r="V7" s="207" t="s">
        <v>75</v>
      </c>
    </row>
    <row r="8" spans="1:22" ht="15" customHeight="1" x14ac:dyDescent="0.25">
      <c r="A8" s="214">
        <v>1</v>
      </c>
      <c r="B8" s="215" t="str">
        <f>IF(Paramètres!B5=0,"",Paramètres!B5)</f>
        <v/>
      </c>
      <c r="C8" s="216">
        <f t="shared" ref="C8" si="0">IF(C7&lt;&gt;0,C7+IF(AND(B7&lt;&gt;"",A7&lt;E$6),B7,0),IF(AND(B7&lt;&gt;"",A7&lt;E$6),B7,0))</f>
        <v>0</v>
      </c>
      <c r="D8" s="217"/>
      <c r="E8" s="218"/>
      <c r="F8" s="219">
        <f t="shared" ref="F8:F18" si="1">IF(G8&lt;&gt;"/",IF(I$6="Error","Error",$J$6+C8),"/")</f>
        <v>0</v>
      </c>
      <c r="G8" s="220">
        <f>IF(I$6="Error","Error",IF(AND($E$6&lt;&gt;"/",$E$6&gt;Paramètres!$AX2),Paramètres!$AX3,"/"))</f>
        <v>1</v>
      </c>
      <c r="H8" s="195">
        <f>IF(G8&lt;&gt;"/",VLOOKUP(G8,COSTS_Gold_Mine[#All],2),"/")</f>
        <v>150</v>
      </c>
      <c r="I8" s="194">
        <f>IF(G8&lt;&gt;"/",VLOOKUP(G8,COSTS_Gold_Mine[#All],3),"/")</f>
        <v>1.6666666666666666E-2</v>
      </c>
      <c r="J8" s="195">
        <f t="shared" ref="J8:J18" si="2">IF(I$6="Error","Error",IF(H8&lt;&gt;"/",F8*H8,0))</f>
        <v>0</v>
      </c>
      <c r="K8" s="221">
        <f t="shared" ref="K8:K18" si="3">IF(I$6="Error","Error",IF(I8&lt;&gt;"/",F8*I8,0))</f>
        <v>0</v>
      </c>
      <c r="L8" s="222">
        <v>1</v>
      </c>
      <c r="M8" s="215" t="str">
        <f>IF(Paramètres!C5=0,"",Paramètres!C5)</f>
        <v/>
      </c>
      <c r="N8" s="216">
        <f t="shared" ref="N8:N18" si="4">IF(N7&lt;&gt;0,N7+IF(AND(M7&lt;&gt;"",L7&lt;P$6),M7,0),IF(AND(M7&lt;&gt;"",L7&lt;P$6),M7,0))</f>
        <v>0</v>
      </c>
      <c r="O8" s="217"/>
      <c r="P8" s="218"/>
      <c r="Q8" s="223">
        <f t="shared" ref="Q8:Q18" si="5">IF(R8&lt;&gt;"/",IF(T$6="Error","Error",$U$6+N8),"/")</f>
        <v>0</v>
      </c>
      <c r="R8" s="224">
        <f>IF(T$6="Error","Error",IF(AND($P$6&lt;&gt;"/",$P$6&gt;Paramètres!$AX2),Paramètres!$AX3,"/"))</f>
        <v>1</v>
      </c>
      <c r="S8" s="180">
        <f>IF(R8&lt;&gt;"/",VLOOKUP(R8,COSTS_Elixir_Collector[#All],2),"/")</f>
        <v>150</v>
      </c>
      <c r="T8" s="179">
        <f>IF(R8&lt;&gt;"/",VLOOKUP(R8,COSTS_Elixir_Collector[#All],3),"/")</f>
        <v>1.6666666666666666E-2</v>
      </c>
      <c r="U8" s="180">
        <f t="shared" ref="U8:U18" si="6">IF(T$6="Error","Error",IF(S8&lt;&gt;"/",Q8*S8,0))</f>
        <v>0</v>
      </c>
      <c r="V8" s="225">
        <f t="shared" ref="V8:V18" si="7">IF(T$6="Error","Error",IF(T8&lt;&gt;"/",Q8*T8,0))</f>
        <v>0</v>
      </c>
    </row>
    <row r="9" spans="1:22" ht="15" customHeight="1" x14ac:dyDescent="0.25">
      <c r="A9" s="214">
        <v>2</v>
      </c>
      <c r="B9" s="226" t="str">
        <f>IF(Paramètres!B6=0,"",Paramètres!B6)</f>
        <v/>
      </c>
      <c r="C9" s="216">
        <f t="shared" ref="C9:C18" si="8">IF(C8&lt;&gt;0,C8+IF(AND(B8&lt;&gt;"",A8&lt;E$6),B8,0),IF(AND(B8&lt;&gt;"",A8&lt;E$6),B8,0))</f>
        <v>0</v>
      </c>
      <c r="D9" s="227"/>
      <c r="E9" s="228"/>
      <c r="F9" s="219">
        <f t="shared" si="1"/>
        <v>0</v>
      </c>
      <c r="G9" s="220">
        <f>IF(I$6="Error","Error",IF(AND($E$6&lt;&gt;"/",$E$6&gt;Paramètres!$AX3),Paramètres!$AX4,"/"))</f>
        <v>2</v>
      </c>
      <c r="H9" s="195">
        <f>IF(G9&lt;&gt;"/",VLOOKUP(G9,COSTS_Gold_Mine[#All],2),"/")</f>
        <v>300</v>
      </c>
      <c r="I9" s="194">
        <f>IF(G9&lt;&gt;"/",VLOOKUP(G9,COSTS_Gold_Mine[#All],3),"/")</f>
        <v>8.3333333333333329E-2</v>
      </c>
      <c r="J9" s="195">
        <f t="shared" si="2"/>
        <v>0</v>
      </c>
      <c r="K9" s="221">
        <f t="shared" si="3"/>
        <v>0</v>
      </c>
      <c r="L9" s="214">
        <v>2</v>
      </c>
      <c r="M9" s="226" t="str">
        <f>IF(Paramètres!C6=0,"",Paramètres!C6)</f>
        <v/>
      </c>
      <c r="N9" s="216">
        <f t="shared" si="4"/>
        <v>0</v>
      </c>
      <c r="O9" s="227"/>
      <c r="P9" s="228"/>
      <c r="Q9" s="219">
        <f t="shared" si="5"/>
        <v>0</v>
      </c>
      <c r="R9" s="220">
        <f>IF(T$6="Error","Error",IF(AND($P$6&lt;&gt;"/",$P$6&gt;Paramètres!$AX3),Paramètres!$AX4,"/"))</f>
        <v>2</v>
      </c>
      <c r="S9" s="193">
        <f>IF(R9&lt;&gt;"/",VLOOKUP(R9,COSTS_Elixir_Collector[#All],2),"/")</f>
        <v>300</v>
      </c>
      <c r="T9" s="194">
        <f>IF(R9&lt;&gt;"/",VLOOKUP(R9,COSTS_Elixir_Collector[#All],3),"/")</f>
        <v>8.3333333333333329E-2</v>
      </c>
      <c r="U9" s="193">
        <f t="shared" si="6"/>
        <v>0</v>
      </c>
      <c r="V9" s="221">
        <f t="shared" si="7"/>
        <v>0</v>
      </c>
    </row>
    <row r="10" spans="1:22" ht="15" customHeight="1" x14ac:dyDescent="0.25">
      <c r="A10" s="214">
        <v>3</v>
      </c>
      <c r="B10" s="226" t="str">
        <f>IF(Paramètres!B7=0,"",Paramètres!B7)</f>
        <v/>
      </c>
      <c r="C10" s="216">
        <f t="shared" si="8"/>
        <v>0</v>
      </c>
      <c r="D10" s="227"/>
      <c r="E10" s="228"/>
      <c r="F10" s="219">
        <f t="shared" si="1"/>
        <v>0</v>
      </c>
      <c r="G10" s="220">
        <f>IF(I$6="Error","Error",IF(AND($E$6&lt;&gt;"/",$E$6&gt;Paramètres!$AX4),Paramètres!$AX5,"/"))</f>
        <v>3</v>
      </c>
      <c r="H10" s="195">
        <f>IF(G10&lt;&gt;"/",VLOOKUP(G10,COSTS_Gold_Mine[#All],2),"/")</f>
        <v>700</v>
      </c>
      <c r="I10" s="194">
        <f>IF(G10&lt;&gt;"/",VLOOKUP(G10,COSTS_Gold_Mine[#All],3),"/")</f>
        <v>0.25</v>
      </c>
      <c r="J10" s="195">
        <f t="shared" si="2"/>
        <v>0</v>
      </c>
      <c r="K10" s="221">
        <f t="shared" si="3"/>
        <v>0</v>
      </c>
      <c r="L10" s="214">
        <v>3</v>
      </c>
      <c r="M10" s="226" t="str">
        <f>IF(Paramètres!C7=0,"",Paramètres!C7)</f>
        <v/>
      </c>
      <c r="N10" s="216">
        <f t="shared" si="4"/>
        <v>0</v>
      </c>
      <c r="O10" s="227"/>
      <c r="P10" s="228"/>
      <c r="Q10" s="219">
        <f t="shared" si="5"/>
        <v>0</v>
      </c>
      <c r="R10" s="220">
        <f>IF(T$6="Error","Error",IF(AND($P$6&lt;&gt;"/",$P$6&gt;Paramètres!$AX4),Paramètres!$AX5,"/"))</f>
        <v>3</v>
      </c>
      <c r="S10" s="193">
        <f>IF(R10&lt;&gt;"/",VLOOKUP(R10,COSTS_Elixir_Collector[#All],2),"/")</f>
        <v>700</v>
      </c>
      <c r="T10" s="194">
        <f>IF(R10&lt;&gt;"/",VLOOKUP(R10,COSTS_Elixir_Collector[#All],3),"/")</f>
        <v>0.25</v>
      </c>
      <c r="U10" s="193">
        <f t="shared" si="6"/>
        <v>0</v>
      </c>
      <c r="V10" s="221">
        <f t="shared" si="7"/>
        <v>0</v>
      </c>
    </row>
    <row r="11" spans="1:22" ht="15" customHeight="1" x14ac:dyDescent="0.25">
      <c r="A11" s="214">
        <v>4</v>
      </c>
      <c r="B11" s="226" t="str">
        <f>IF(Paramètres!B8=0,"",Paramètres!B8)</f>
        <v/>
      </c>
      <c r="C11" s="216">
        <f t="shared" si="8"/>
        <v>0</v>
      </c>
      <c r="D11" s="227"/>
      <c r="E11" s="228"/>
      <c r="F11" s="219">
        <f t="shared" si="1"/>
        <v>0</v>
      </c>
      <c r="G11" s="220">
        <f>IF(I$6="Error","Error",IF(AND($E$6&lt;&gt;"/",$E$6&gt;Paramètres!$AX5),Paramètres!$AX6,"/"))</f>
        <v>4</v>
      </c>
      <c r="H11" s="195">
        <f>IF(G11&lt;&gt;"/",VLOOKUP(G11,COSTS_Gold_Mine[#All],2),"/")</f>
        <v>1400</v>
      </c>
      <c r="I11" s="194">
        <f>IF(G11&lt;&gt;"/",VLOOKUP(G11,COSTS_Gold_Mine[#All],3),"/")</f>
        <v>1</v>
      </c>
      <c r="J11" s="195">
        <f t="shared" si="2"/>
        <v>0</v>
      </c>
      <c r="K11" s="221">
        <f t="shared" si="3"/>
        <v>0</v>
      </c>
      <c r="L11" s="214">
        <v>4</v>
      </c>
      <c r="M11" s="226" t="str">
        <f>IF(Paramètres!C8=0,"",Paramètres!C8)</f>
        <v/>
      </c>
      <c r="N11" s="216">
        <f>IF(N10&lt;&gt;0,N10+IF(AND(M10&lt;&gt;"",L10&lt;P$6),M10,0),IF(AND(M10&lt;&gt;"",L10&lt;P$6),M10,0))</f>
        <v>0</v>
      </c>
      <c r="O11" s="227"/>
      <c r="P11" s="228"/>
      <c r="Q11" s="219">
        <f t="shared" si="5"/>
        <v>0</v>
      </c>
      <c r="R11" s="220">
        <f>IF(T$6="Error","Error",IF(AND($P$6&lt;&gt;"/",$P$6&gt;Paramètres!$AX5),Paramètres!$AX6,"/"))</f>
        <v>4</v>
      </c>
      <c r="S11" s="193">
        <f>IF(R11&lt;&gt;"/",VLOOKUP(R11,COSTS_Elixir_Collector[#All],2),"/")</f>
        <v>1400</v>
      </c>
      <c r="T11" s="194">
        <f>IF(R11&lt;&gt;"/",VLOOKUP(R11,COSTS_Elixir_Collector[#All],3),"/")</f>
        <v>1</v>
      </c>
      <c r="U11" s="193">
        <f t="shared" si="6"/>
        <v>0</v>
      </c>
      <c r="V11" s="221">
        <f t="shared" si="7"/>
        <v>0</v>
      </c>
    </row>
    <row r="12" spans="1:22" ht="15" customHeight="1" x14ac:dyDescent="0.25">
      <c r="A12" s="214">
        <v>5</v>
      </c>
      <c r="B12" s="226" t="str">
        <f>IF(Paramètres!B9=0,"",Paramètres!B9)</f>
        <v/>
      </c>
      <c r="C12" s="216">
        <f t="shared" si="8"/>
        <v>0</v>
      </c>
      <c r="D12" s="227"/>
      <c r="E12" s="228"/>
      <c r="F12" s="219">
        <f t="shared" si="1"/>
        <v>0</v>
      </c>
      <c r="G12" s="220">
        <f>IF(I$6="Error","Error",IF(AND($E$6&lt;&gt;"/",$E$6&gt;Paramètres!$AX6),Paramètres!$AX7,"/"))</f>
        <v>5</v>
      </c>
      <c r="H12" s="195">
        <f>IF(G12&lt;&gt;"/",VLOOKUP(G12,COSTS_Gold_Mine[#All],2),"/")</f>
        <v>3000</v>
      </c>
      <c r="I12" s="194">
        <f>IF(G12&lt;&gt;"/",VLOOKUP(G12,COSTS_Gold_Mine[#All],3),"/")</f>
        <v>2</v>
      </c>
      <c r="J12" s="195">
        <f t="shared" si="2"/>
        <v>0</v>
      </c>
      <c r="K12" s="221">
        <f t="shared" si="3"/>
        <v>0</v>
      </c>
      <c r="L12" s="214">
        <v>5</v>
      </c>
      <c r="M12" s="226" t="str">
        <f>IF(Paramètres!C9=0,"",Paramètres!C9)</f>
        <v/>
      </c>
      <c r="N12" s="216">
        <f t="shared" si="4"/>
        <v>0</v>
      </c>
      <c r="O12" s="227"/>
      <c r="P12" s="228"/>
      <c r="Q12" s="219">
        <f t="shared" si="5"/>
        <v>0</v>
      </c>
      <c r="R12" s="220">
        <f>IF(T$6="Error","Error",IF(AND($P$6&lt;&gt;"/",$P$6&gt;Paramètres!$AX6),Paramètres!$AX7,"/"))</f>
        <v>5</v>
      </c>
      <c r="S12" s="193">
        <f>IF(R12&lt;&gt;"/",VLOOKUP(R12,COSTS_Elixir_Collector[#All],2),"/")</f>
        <v>3000</v>
      </c>
      <c r="T12" s="194">
        <f>IF(R12&lt;&gt;"/",VLOOKUP(R12,COSTS_Elixir_Collector[#All],3),"/")</f>
        <v>2</v>
      </c>
      <c r="U12" s="193">
        <f t="shared" si="6"/>
        <v>0</v>
      </c>
      <c r="V12" s="221">
        <f t="shared" si="7"/>
        <v>0</v>
      </c>
    </row>
    <row r="13" spans="1:22" ht="15" customHeight="1" x14ac:dyDescent="0.25">
      <c r="A13" s="214">
        <v>6</v>
      </c>
      <c r="B13" s="226" t="str">
        <f>IF(Paramètres!B10=0,"",Paramètres!B10)</f>
        <v/>
      </c>
      <c r="C13" s="216">
        <f t="shared" si="8"/>
        <v>0</v>
      </c>
      <c r="D13" s="227"/>
      <c r="E13" s="228"/>
      <c r="F13" s="219">
        <f t="shared" si="1"/>
        <v>0</v>
      </c>
      <c r="G13" s="220">
        <f>IF(I$6="Error","Error",IF(AND($E$6&lt;&gt;"/",$E$6&gt;Paramètres!$AX7),Paramètres!$AX8,"/"))</f>
        <v>6</v>
      </c>
      <c r="H13" s="195">
        <f>IF(G13&lt;&gt;"/",VLOOKUP(G13,COSTS_Gold_Mine[#All],2),"/")</f>
        <v>7000</v>
      </c>
      <c r="I13" s="194">
        <f>IF(G13&lt;&gt;"/",VLOOKUP(G13,COSTS_Gold_Mine[#All],3),"/")</f>
        <v>6</v>
      </c>
      <c r="J13" s="195">
        <f t="shared" si="2"/>
        <v>0</v>
      </c>
      <c r="K13" s="221">
        <f t="shared" si="3"/>
        <v>0</v>
      </c>
      <c r="L13" s="214">
        <v>6</v>
      </c>
      <c r="M13" s="226" t="str">
        <f>IF(Paramètres!C10=0,"",Paramètres!C10)</f>
        <v/>
      </c>
      <c r="N13" s="216">
        <f t="shared" si="4"/>
        <v>0</v>
      </c>
      <c r="O13" s="227"/>
      <c r="P13" s="228"/>
      <c r="Q13" s="219">
        <f t="shared" si="5"/>
        <v>0</v>
      </c>
      <c r="R13" s="220">
        <f>IF(T$6="Error","Error",IF(AND($P$6&lt;&gt;"/",$P$6&gt;Paramètres!$AX7),Paramètres!$AX8,"/"))</f>
        <v>6</v>
      </c>
      <c r="S13" s="193">
        <f>IF(R13&lt;&gt;"/",VLOOKUP(R13,COSTS_Elixir_Collector[#All],2),"/")</f>
        <v>7000</v>
      </c>
      <c r="T13" s="194">
        <f>IF(R13&lt;&gt;"/",VLOOKUP(R13,COSTS_Elixir_Collector[#All],3),"/")</f>
        <v>6</v>
      </c>
      <c r="U13" s="193">
        <f t="shared" si="6"/>
        <v>0</v>
      </c>
      <c r="V13" s="221">
        <f t="shared" si="7"/>
        <v>0</v>
      </c>
    </row>
    <row r="14" spans="1:22" ht="15" customHeight="1" x14ac:dyDescent="0.25">
      <c r="A14" s="214">
        <v>7</v>
      </c>
      <c r="B14" s="226" t="str">
        <f>IF(Paramètres!B11=0,"",Paramètres!B11)</f>
        <v/>
      </c>
      <c r="C14" s="216">
        <f t="shared" si="8"/>
        <v>0</v>
      </c>
      <c r="D14" s="227"/>
      <c r="E14" s="228"/>
      <c r="F14" s="219">
        <f t="shared" si="1"/>
        <v>0</v>
      </c>
      <c r="G14" s="220">
        <f>IF(I$6="Error","Error",IF(AND($E$6&lt;&gt;"/",$E$6&gt;Paramètres!$AX8),Paramètres!$AX9,"/"))</f>
        <v>7</v>
      </c>
      <c r="H14" s="195">
        <f>IF(G14&lt;&gt;"/",VLOOKUP(G14,COSTS_Gold_Mine[#All],2),"/")</f>
        <v>14000</v>
      </c>
      <c r="I14" s="194">
        <f>IF(G14&lt;&gt;"/",VLOOKUP(G14,COSTS_Gold_Mine[#All],3),"/")</f>
        <v>12</v>
      </c>
      <c r="J14" s="195">
        <f t="shared" si="2"/>
        <v>0</v>
      </c>
      <c r="K14" s="221">
        <f t="shared" si="3"/>
        <v>0</v>
      </c>
      <c r="L14" s="214">
        <v>7</v>
      </c>
      <c r="M14" s="226" t="str">
        <f>IF(Paramètres!C11=0,"",Paramètres!C11)</f>
        <v/>
      </c>
      <c r="N14" s="216">
        <f t="shared" si="4"/>
        <v>0</v>
      </c>
      <c r="O14" s="227"/>
      <c r="P14" s="228"/>
      <c r="Q14" s="219">
        <f t="shared" si="5"/>
        <v>0</v>
      </c>
      <c r="R14" s="220">
        <f>IF(T$6="Error","Error",IF(AND($P$6&lt;&gt;"/",$P$6&gt;Paramètres!$AX8),Paramètres!$AX9,"/"))</f>
        <v>7</v>
      </c>
      <c r="S14" s="193">
        <f>IF(R14&lt;&gt;"/",VLOOKUP(R14,COSTS_Elixir_Collector[#All],2),"/")</f>
        <v>14000</v>
      </c>
      <c r="T14" s="194">
        <f>IF(R14&lt;&gt;"/",VLOOKUP(R14,COSTS_Elixir_Collector[#All],3),"/")</f>
        <v>12</v>
      </c>
      <c r="U14" s="193">
        <f t="shared" si="6"/>
        <v>0</v>
      </c>
      <c r="V14" s="221">
        <f t="shared" si="7"/>
        <v>0</v>
      </c>
    </row>
    <row r="15" spans="1:22" ht="15" customHeight="1" x14ac:dyDescent="0.25">
      <c r="A15" s="214">
        <v>8</v>
      </c>
      <c r="B15" s="226" t="str">
        <f>IF(Paramètres!B12=0,"",Paramètres!B12)</f>
        <v/>
      </c>
      <c r="C15" s="216">
        <f t="shared" si="8"/>
        <v>0</v>
      </c>
      <c r="D15" s="227"/>
      <c r="E15" s="228"/>
      <c r="F15" s="219">
        <f t="shared" si="1"/>
        <v>0</v>
      </c>
      <c r="G15" s="220">
        <f>IF(I$6="Error","Error",IF(AND($E$6&lt;&gt;"/",$E$6&gt;Paramètres!$AX9),Paramètres!$AX10,"/"))</f>
        <v>8</v>
      </c>
      <c r="H15" s="195">
        <f>IF(G15&lt;&gt;"/",VLOOKUP(G15,COSTS_Gold_Mine[#All],2),"/")</f>
        <v>28000</v>
      </c>
      <c r="I15" s="194">
        <f>IF(G15&lt;&gt;"/",VLOOKUP(G15,COSTS_Gold_Mine[#All],3),"/")</f>
        <v>24</v>
      </c>
      <c r="J15" s="195">
        <f t="shared" si="2"/>
        <v>0</v>
      </c>
      <c r="K15" s="221">
        <f t="shared" si="3"/>
        <v>0</v>
      </c>
      <c r="L15" s="214">
        <v>8</v>
      </c>
      <c r="M15" s="226" t="str">
        <f>IF(Paramètres!C12=0,"",Paramètres!C12)</f>
        <v/>
      </c>
      <c r="N15" s="216">
        <f>IF(N14&lt;&gt;0,N14+IF(AND(M14&lt;&gt;"",L14&lt;P$6),M14,0),IF(AND(M14&lt;&gt;"",L14&lt;P$6),M14,0))</f>
        <v>0</v>
      </c>
      <c r="O15" s="227"/>
      <c r="P15" s="228"/>
      <c r="Q15" s="219">
        <f t="shared" si="5"/>
        <v>0</v>
      </c>
      <c r="R15" s="220">
        <f>IF(T$6="Error","Error",IF(AND($P$6&lt;&gt;"/",$P$6&gt;Paramètres!$AX9),Paramètres!$AX10,"/"))</f>
        <v>8</v>
      </c>
      <c r="S15" s="193">
        <f>IF(R15&lt;&gt;"/",VLOOKUP(R15,COSTS_Elixir_Collector[#All],2),"/")</f>
        <v>28000</v>
      </c>
      <c r="T15" s="194">
        <f>IF(R15&lt;&gt;"/",VLOOKUP(R15,COSTS_Elixir_Collector[#All],3),"/")</f>
        <v>24</v>
      </c>
      <c r="U15" s="193">
        <f t="shared" si="6"/>
        <v>0</v>
      </c>
      <c r="V15" s="221">
        <f t="shared" si="7"/>
        <v>0</v>
      </c>
    </row>
    <row r="16" spans="1:22" ht="15" customHeight="1" x14ac:dyDescent="0.25">
      <c r="A16" s="214">
        <v>9</v>
      </c>
      <c r="B16" s="226" t="str">
        <f>IF(Paramètres!B13=0,"",Paramètres!B13)</f>
        <v/>
      </c>
      <c r="C16" s="216">
        <f t="shared" si="8"/>
        <v>0</v>
      </c>
      <c r="D16" s="227"/>
      <c r="E16" s="228"/>
      <c r="F16" s="219">
        <f t="shared" si="1"/>
        <v>0</v>
      </c>
      <c r="G16" s="220">
        <f>IF(I$6="Error","Error",IF(AND($E$6&lt;&gt;"/",$E$6&gt;Paramètres!$AX10),Paramètres!$AX11,"/"))</f>
        <v>9</v>
      </c>
      <c r="H16" s="195">
        <f>IF(G16&lt;&gt;"/",VLOOKUP(G16,COSTS_Gold_Mine[#All],2),"/")</f>
        <v>56000</v>
      </c>
      <c r="I16" s="194">
        <f>IF(G16&lt;&gt;"/",VLOOKUP(G16,COSTS_Gold_Mine[#All],3),"/")</f>
        <v>48</v>
      </c>
      <c r="J16" s="195">
        <f t="shared" si="2"/>
        <v>0</v>
      </c>
      <c r="K16" s="221">
        <f t="shared" si="3"/>
        <v>0</v>
      </c>
      <c r="L16" s="214">
        <v>9</v>
      </c>
      <c r="M16" s="226">
        <f>IF(Paramètres!C13=0,"",Paramètres!C13)</f>
        <v>4</v>
      </c>
      <c r="N16" s="216">
        <f t="shared" si="4"/>
        <v>0</v>
      </c>
      <c r="O16" s="227"/>
      <c r="P16" s="228"/>
      <c r="Q16" s="219">
        <f t="shared" si="5"/>
        <v>0</v>
      </c>
      <c r="R16" s="220">
        <f>IF(T$6="Error","Error",IF(AND($P$6&lt;&gt;"/",$P$6&gt;Paramètres!$AX10),Paramètres!$AX11,"/"))</f>
        <v>9</v>
      </c>
      <c r="S16" s="193">
        <f>IF(R16&lt;&gt;"/",VLOOKUP(R16,COSTS_Elixir_Collector[#All],2),"/")</f>
        <v>56000</v>
      </c>
      <c r="T16" s="194">
        <f>IF(R16&lt;&gt;"/",VLOOKUP(R16,COSTS_Elixir_Collector[#All],3),"/")</f>
        <v>48</v>
      </c>
      <c r="U16" s="193">
        <f t="shared" si="6"/>
        <v>0</v>
      </c>
      <c r="V16" s="221">
        <f t="shared" si="7"/>
        <v>0</v>
      </c>
    </row>
    <row r="17" spans="1:23" ht="15" customHeight="1" x14ac:dyDescent="0.25">
      <c r="A17" s="214">
        <v>10</v>
      </c>
      <c r="B17" s="226" t="str">
        <f>IF(Paramètres!B14=0,"",Paramètres!B14)</f>
        <v/>
      </c>
      <c r="C17" s="216">
        <f>IF(C16&lt;&gt;0,C16+IF(AND(B16&lt;&gt;"",A16&lt;E$6),B16,0),IF(AND(B16&lt;&gt;"",A16&lt;E$6),B16,0))</f>
        <v>0</v>
      </c>
      <c r="D17" s="227"/>
      <c r="E17" s="228"/>
      <c r="F17" s="219">
        <f t="shared" si="1"/>
        <v>0</v>
      </c>
      <c r="G17" s="220">
        <f>IF(I$6="Error","Error",IF(AND($E$6&lt;&gt;"/",$E$6&gt;Paramètres!$AX11),Paramètres!$AX12,"/"))</f>
        <v>10</v>
      </c>
      <c r="H17" s="195">
        <f>IF(G17&lt;&gt;"/",VLOOKUP(G17,COSTS_Gold_Mine[#All],2),"/")</f>
        <v>84000</v>
      </c>
      <c r="I17" s="194">
        <f>IF(G17&lt;&gt;"/",VLOOKUP(G17,COSTS_Gold_Mine[#All],3),"/")</f>
        <v>72</v>
      </c>
      <c r="J17" s="195">
        <f t="shared" si="2"/>
        <v>0</v>
      </c>
      <c r="K17" s="221">
        <f t="shared" si="3"/>
        <v>0</v>
      </c>
      <c r="L17" s="214">
        <v>10</v>
      </c>
      <c r="M17" s="226">
        <f>IF(Paramètres!C14=0,"",Paramètres!C14)</f>
        <v>2</v>
      </c>
      <c r="N17" s="216">
        <f t="shared" si="4"/>
        <v>4</v>
      </c>
      <c r="O17" s="227"/>
      <c r="P17" s="228"/>
      <c r="Q17" s="219">
        <f t="shared" si="5"/>
        <v>4</v>
      </c>
      <c r="R17" s="220">
        <f>IF(T$6="Error","Error",IF(AND($P$6&lt;&gt;"/",$P$6&gt;Paramètres!$AX11),Paramètres!$AX12,"/"))</f>
        <v>10</v>
      </c>
      <c r="S17" s="193">
        <f>IF(R17&lt;&gt;"/",VLOOKUP(R17,COSTS_Elixir_Collector[#All],2),"/")</f>
        <v>84000</v>
      </c>
      <c r="T17" s="194">
        <f>IF(R17&lt;&gt;"/",VLOOKUP(R17,COSTS_Elixir_Collector[#All],3),"/")</f>
        <v>72</v>
      </c>
      <c r="U17" s="193">
        <f t="shared" si="6"/>
        <v>336000</v>
      </c>
      <c r="V17" s="221">
        <f t="shared" si="7"/>
        <v>288</v>
      </c>
    </row>
    <row r="18" spans="1:23" ht="15" customHeight="1" thickBot="1" x14ac:dyDescent="0.3">
      <c r="A18" s="236">
        <v>11</v>
      </c>
      <c r="B18" s="237">
        <f>IF(Paramètres!B15=0,"",Paramètres!B15)</f>
        <v>6</v>
      </c>
      <c r="C18" s="238">
        <f t="shared" si="8"/>
        <v>0</v>
      </c>
      <c r="D18" s="239"/>
      <c r="E18" s="240"/>
      <c r="F18" s="219">
        <f t="shared" si="1"/>
        <v>0</v>
      </c>
      <c r="G18" s="241">
        <f>IF(I$6="Error","Error",IF(AND($E$6&lt;&gt;"/",$E$6&gt;Paramètres!$AX12),Paramètres!$AX13,"/"))</f>
        <v>11</v>
      </c>
      <c r="H18" s="232">
        <f>IF(G18&lt;&gt;"/",VLOOKUP(G18,COSTS_Gold_Mine[#All],2),"/")</f>
        <v>168000</v>
      </c>
      <c r="I18" s="233">
        <f>IF(G18&lt;&gt;"/",VLOOKUP(G18,COSTS_Gold_Mine[#All],3),"/")</f>
        <v>96</v>
      </c>
      <c r="J18" s="232">
        <f t="shared" si="2"/>
        <v>0</v>
      </c>
      <c r="K18" s="242">
        <f t="shared" si="3"/>
        <v>0</v>
      </c>
      <c r="L18" s="236">
        <v>11</v>
      </c>
      <c r="M18" s="237" t="str">
        <f>IF(Paramètres!C15=0,"",Paramètres!C15)</f>
        <v/>
      </c>
      <c r="N18" s="238">
        <f t="shared" si="4"/>
        <v>6</v>
      </c>
      <c r="O18" s="239"/>
      <c r="P18" s="240"/>
      <c r="Q18" s="243">
        <f t="shared" si="5"/>
        <v>6</v>
      </c>
      <c r="R18" s="241">
        <f>IF(T$6="Error","Error",IF(AND($P$6&lt;&gt;"/",$P$6&gt;Paramètres!$AX12),Paramètres!$AX13,"/"))</f>
        <v>11</v>
      </c>
      <c r="S18" s="244">
        <f>IF(R18&lt;&gt;"/",VLOOKUP(R18,COSTS_Elixir_Collector[#All],2),"/")</f>
        <v>168000</v>
      </c>
      <c r="T18" s="233">
        <f>IF(R18&lt;&gt;"/",VLOOKUP(R18,COSTS_Elixir_Collector[#All],3),"/")</f>
        <v>96</v>
      </c>
      <c r="U18" s="244">
        <f t="shared" si="6"/>
        <v>1008000</v>
      </c>
      <c r="V18" s="242">
        <f t="shared" si="7"/>
        <v>576</v>
      </c>
    </row>
    <row r="19" spans="1:23" ht="15" customHeight="1" thickBot="1" x14ac:dyDescent="0.3">
      <c r="A19" s="420"/>
      <c r="B19" s="421"/>
      <c r="C19" s="421"/>
      <c r="D19" s="421"/>
      <c r="E19" s="421"/>
      <c r="F19" s="421"/>
      <c r="G19" s="421"/>
      <c r="H19" s="424"/>
      <c r="I19" s="248" t="s">
        <v>15</v>
      </c>
      <c r="J19" s="249">
        <f>IF(I$6="Error","Error",SUM(J8:J18))</f>
        <v>0</v>
      </c>
      <c r="K19" s="250">
        <f>IF(I$6="Error","Error",SUM(K8:K18))</f>
        <v>0</v>
      </c>
      <c r="L19" s="420"/>
      <c r="M19" s="422"/>
      <c r="N19" s="421"/>
      <c r="O19" s="421"/>
      <c r="P19" s="421"/>
      <c r="Q19" s="422"/>
      <c r="R19" s="422"/>
      <c r="S19" s="423"/>
      <c r="T19" s="158" t="s">
        <v>15</v>
      </c>
      <c r="U19" s="251">
        <f>IF(T$6="Error","Error",SUM(U8:U18))</f>
        <v>1344000</v>
      </c>
      <c r="V19" s="252">
        <f>IF(T$6="Error","Error",SUM(V8:V18))</f>
        <v>864</v>
      </c>
    </row>
    <row r="20" spans="1:23" ht="15" customHeight="1" x14ac:dyDescent="0.25">
      <c r="A20" s="414" t="s">
        <v>131</v>
      </c>
      <c r="B20" s="415"/>
      <c r="C20" s="416"/>
      <c r="D20" s="164" t="s">
        <v>16</v>
      </c>
      <c r="E20" s="165" t="s">
        <v>17</v>
      </c>
      <c r="F20" s="166"/>
      <c r="G20" s="167"/>
      <c r="H20" s="168"/>
      <c r="I20" s="164" t="s">
        <v>91</v>
      </c>
      <c r="J20" s="169" t="s">
        <v>90</v>
      </c>
      <c r="K20" s="165" t="s">
        <v>92</v>
      </c>
      <c r="L20" s="414" t="s">
        <v>109</v>
      </c>
      <c r="M20" s="415"/>
      <c r="N20" s="416"/>
      <c r="O20" s="164" t="s">
        <v>16</v>
      </c>
      <c r="P20" s="165" t="s">
        <v>17</v>
      </c>
      <c r="Q20" s="166"/>
      <c r="R20" s="167"/>
      <c r="S20" s="168"/>
      <c r="T20" s="164" t="s">
        <v>91</v>
      </c>
      <c r="U20" s="169" t="s">
        <v>90</v>
      </c>
      <c r="V20" s="165" t="s">
        <v>92</v>
      </c>
      <c r="W20" s="311"/>
    </row>
    <row r="21" spans="1:23" ht="15" customHeight="1" thickBot="1" x14ac:dyDescent="0.3">
      <c r="A21" s="417"/>
      <c r="B21" s="418"/>
      <c r="C21" s="419"/>
      <c r="D21" s="183">
        <f>VLOOKUP($A$1,AVAILABLE_Buildings_Resource[#All],MATCH(A20,AVAILABLE_Buildings_Resource[#Headers],0))</f>
        <v>0</v>
      </c>
      <c r="E21" s="184">
        <f>VLOOKUP($A$1,AVAILABLE_Buildings_Resource[#All],MATCH(A20,AVAILABLE_Buildings_Resource[#Headers],0)+1)</f>
        <v>0</v>
      </c>
      <c r="F21" s="185"/>
      <c r="G21" s="186"/>
      <c r="H21" s="187"/>
      <c r="I21" s="183">
        <f>IF(SUM(B23:B28)&gt;D21,"Error",SUM(B23:B28))</f>
        <v>0</v>
      </c>
      <c r="J21" s="188">
        <f>IF(I$21="Error","Error",D21-I21)</f>
        <v>0</v>
      </c>
      <c r="K21" s="189">
        <f>IF(I$21="Error","Error",SUM(F23:F28))</f>
        <v>0</v>
      </c>
      <c r="L21" s="417"/>
      <c r="M21" s="418"/>
      <c r="N21" s="419"/>
      <c r="O21" s="183">
        <f>VLOOKUP($A$1,AVAILABLE_Buildings_Resource[#All],MATCH(L20,AVAILABLE_Buildings_Resource[#Headers],0))</f>
        <v>2</v>
      </c>
      <c r="P21" s="184">
        <f>VLOOKUP($A$1,AVAILABLE_Buildings_Resource[#All],MATCH(L20,AVAILABLE_Buildings_Resource[#Headers],0)+1)</f>
        <v>11</v>
      </c>
      <c r="Q21" s="185"/>
      <c r="R21" s="186"/>
      <c r="S21" s="187"/>
      <c r="T21" s="183">
        <f>IF(SUM(M23:M33)&gt;O21,"Error",SUM(M23:M33))</f>
        <v>2</v>
      </c>
      <c r="U21" s="188">
        <f>IF(T$21="Error","Error",O21-T21)</f>
        <v>0</v>
      </c>
      <c r="V21" s="189">
        <f>IF(T$21="Error","Error",SUM(Q23:Q33))</f>
        <v>1</v>
      </c>
      <c r="W21" s="311"/>
    </row>
    <row r="22" spans="1:23" ht="15" customHeight="1" thickBot="1" x14ac:dyDescent="0.3">
      <c r="A22" s="200" t="s">
        <v>14</v>
      </c>
      <c r="B22" s="201" t="s">
        <v>13</v>
      </c>
      <c r="C22" s="202"/>
      <c r="D22" s="202"/>
      <c r="E22" s="203"/>
      <c r="F22" s="208" t="s">
        <v>13</v>
      </c>
      <c r="G22" s="209" t="s">
        <v>14</v>
      </c>
      <c r="H22" s="206" t="s">
        <v>133</v>
      </c>
      <c r="I22" s="206" t="s">
        <v>134</v>
      </c>
      <c r="J22" s="206" t="s">
        <v>74</v>
      </c>
      <c r="K22" s="207" t="s">
        <v>75</v>
      </c>
      <c r="L22" s="200" t="s">
        <v>14</v>
      </c>
      <c r="M22" s="201" t="s">
        <v>13</v>
      </c>
      <c r="N22" s="202"/>
      <c r="O22" s="202"/>
      <c r="P22" s="203"/>
      <c r="Q22" s="208" t="s">
        <v>13</v>
      </c>
      <c r="R22" s="209" t="s">
        <v>14</v>
      </c>
      <c r="S22" s="206" t="s">
        <v>133</v>
      </c>
      <c r="T22" s="206" t="s">
        <v>134</v>
      </c>
      <c r="U22" s="206" t="s">
        <v>74</v>
      </c>
      <c r="V22" s="207" t="s">
        <v>75</v>
      </c>
      <c r="W22" s="311"/>
    </row>
    <row r="23" spans="1:23" ht="15" customHeight="1" x14ac:dyDescent="0.25">
      <c r="A23" s="222">
        <v>1</v>
      </c>
      <c r="B23" s="215" t="str">
        <f>IF(Paramètres!D5=0,"",Paramètres!D5)</f>
        <v/>
      </c>
      <c r="C23" s="216">
        <f t="shared" ref="C23:C28" si="9">IF(C22&lt;&gt;0,C22+IF(AND(B22&lt;&gt;"",A22&lt;E$6),B22,0),IF(AND(B22&lt;&gt;"",A22&lt;E$6),B22,0))</f>
        <v>0</v>
      </c>
      <c r="D23" s="217"/>
      <c r="E23" s="218"/>
      <c r="F23" s="223" t="str">
        <f t="shared" ref="F23:F28" si="10">IF(G23&lt;&gt;"/",IF(I$21="Error","Error",$J$21+C23),"/")</f>
        <v>/</v>
      </c>
      <c r="G23" s="224" t="str">
        <f>IF(I$21="Error","Error",IF(AND($E$21&lt;&gt;"/",$E$21&gt;Paramètres!$AX2),Paramètres!$AX3,"/"))</f>
        <v>/</v>
      </c>
      <c r="H23" s="178" t="str">
        <f>IF(G23&lt;&gt;"/",VLOOKUP(G23,COSTS_Dark_Elixir_Drill[#All],2),"/")</f>
        <v>/</v>
      </c>
      <c r="I23" s="179" t="str">
        <f>IF(G23&lt;&gt;"/",VLOOKUP(G23,COSTS_Dark_Elixir_Drill[#All],3),"/")</f>
        <v>/</v>
      </c>
      <c r="J23" s="178">
        <f t="shared" ref="J23:J28" si="11">IF(I$21="Error","Error",IF(H23&lt;&gt;"/",F23*H23,0))</f>
        <v>0</v>
      </c>
      <c r="K23" s="225">
        <f t="shared" ref="K23:K28" si="12">IF(I$21="Error","Error",IF(I23&lt;&gt;"/",F23*I23,0))</f>
        <v>0</v>
      </c>
      <c r="L23" s="222">
        <v>1</v>
      </c>
      <c r="M23" s="215" t="str">
        <f>IF(Paramètres!F5=0,"",Paramètres!F5)</f>
        <v/>
      </c>
      <c r="N23" s="216">
        <f t="shared" ref="N23:N33" si="13">IF(N22&lt;&gt;0,N22+IF(AND(M22&lt;&gt;"",L22&lt;P$6),M22,0),IF(AND(M22&lt;&gt;"",L22&lt;P$6),M22,0))</f>
        <v>0</v>
      </c>
      <c r="O23" s="217"/>
      <c r="P23" s="218"/>
      <c r="Q23" s="223">
        <f t="shared" ref="Q23:Q33" si="14">IF(R23&lt;&gt;"/",IF(T$21="Error","Error",$U$21+N23),"/")</f>
        <v>0</v>
      </c>
      <c r="R23" s="224">
        <f>IF(T$21="Error","Error",IF(AND($P$21&lt;&gt;"/",$P$21&gt;Paramètres!$AX2),Paramètres!$AX3,"/"))</f>
        <v>1</v>
      </c>
      <c r="S23" s="180">
        <f>IF(R23&lt;&gt;"/",VLOOKUP(R23,COSTS_Elixir_Storage[#All],2),"/")</f>
        <v>300</v>
      </c>
      <c r="T23" s="179">
        <f>IF(R23&lt;&gt;"/",VLOOKUP(R23,COSTS_Elixir_Storage[#All],3),"/")</f>
        <v>0.25</v>
      </c>
      <c r="U23" s="180">
        <f t="shared" ref="U23:U33" si="15">IF(T$21="Error","Error",IF(S23&lt;&gt;"/",Q23*S23,0))</f>
        <v>0</v>
      </c>
      <c r="V23" s="225">
        <f t="shared" ref="V23:V33" si="16">IF(T$21="Error","Error",IF(T23&lt;&gt;"/",Q23*T23,0))</f>
        <v>0</v>
      </c>
      <c r="W23" s="311"/>
    </row>
    <row r="24" spans="1:23" ht="15" customHeight="1" x14ac:dyDescent="0.25">
      <c r="A24" s="214">
        <v>2</v>
      </c>
      <c r="B24" s="226" t="str">
        <f>IF(Paramètres!D6=0,"",Paramètres!D6)</f>
        <v/>
      </c>
      <c r="C24" s="216">
        <f t="shared" si="9"/>
        <v>0</v>
      </c>
      <c r="D24" s="227"/>
      <c r="E24" s="228"/>
      <c r="F24" s="219" t="str">
        <f t="shared" si="10"/>
        <v>/</v>
      </c>
      <c r="G24" s="220" t="str">
        <f>IF(I$21="Error","Error",IF(AND($E$21&lt;&gt;"/",$E$21&gt;Paramètres!$AX3),Paramètres!$AX4,"/"))</f>
        <v>/</v>
      </c>
      <c r="H24" s="195" t="str">
        <f>IF(G24&lt;&gt;"/",VLOOKUP(G24,COSTS_Dark_Elixir_Drill[#All],2),"/")</f>
        <v>/</v>
      </c>
      <c r="I24" s="194" t="str">
        <f>IF(G24&lt;&gt;"/",VLOOKUP(G24,COSTS_Dark_Elixir_Drill[#All],3),"/")</f>
        <v>/</v>
      </c>
      <c r="J24" s="195">
        <f t="shared" si="11"/>
        <v>0</v>
      </c>
      <c r="K24" s="221">
        <f t="shared" si="12"/>
        <v>0</v>
      </c>
      <c r="L24" s="214">
        <v>2</v>
      </c>
      <c r="M24" s="226" t="str">
        <f>IF(Paramètres!F6=0,"",Paramètres!F6)</f>
        <v/>
      </c>
      <c r="N24" s="216">
        <f t="shared" si="13"/>
        <v>0</v>
      </c>
      <c r="O24" s="227"/>
      <c r="P24" s="228"/>
      <c r="Q24" s="219">
        <f t="shared" si="14"/>
        <v>0</v>
      </c>
      <c r="R24" s="220">
        <f>IF(T$21="Error","Error",IF(AND($P$21&lt;&gt;"/",$P$21&gt;Paramètres!$AX3),Paramètres!$AX4,"/"))</f>
        <v>2</v>
      </c>
      <c r="S24" s="193">
        <f>IF(R24&lt;&gt;"/",VLOOKUP(R24,COSTS_Elixir_Storage[#All],2),"/")</f>
        <v>750</v>
      </c>
      <c r="T24" s="194">
        <f>IF(R24&lt;&gt;"/",VLOOKUP(R24,COSTS_Elixir_Storage[#All],3),"/")</f>
        <v>0.5</v>
      </c>
      <c r="U24" s="193">
        <f t="shared" si="15"/>
        <v>0</v>
      </c>
      <c r="V24" s="221">
        <f t="shared" si="16"/>
        <v>0</v>
      </c>
    </row>
    <row r="25" spans="1:23" ht="15" customHeight="1" x14ac:dyDescent="0.25">
      <c r="A25" s="214">
        <v>3</v>
      </c>
      <c r="B25" s="226" t="str">
        <f>IF(Paramètres!D7=0,"",Paramètres!D7)</f>
        <v/>
      </c>
      <c r="C25" s="216">
        <f t="shared" si="9"/>
        <v>0</v>
      </c>
      <c r="D25" s="227"/>
      <c r="E25" s="228"/>
      <c r="F25" s="219" t="str">
        <f t="shared" si="10"/>
        <v>/</v>
      </c>
      <c r="G25" s="220" t="str">
        <f>IF(I$21="Error","Error",IF(AND($E$21&lt;&gt;"/",$E$21&gt;Paramètres!$AX4),Paramètres!$AX5,"/"))</f>
        <v>/</v>
      </c>
      <c r="H25" s="195" t="str">
        <f>IF(G25&lt;&gt;"/",VLOOKUP(G25,COSTS_Dark_Elixir_Drill[#All],2),"/")</f>
        <v>/</v>
      </c>
      <c r="I25" s="194" t="str">
        <f>IF(G25&lt;&gt;"/",VLOOKUP(G25,COSTS_Dark_Elixir_Drill[#All],3),"/")</f>
        <v>/</v>
      </c>
      <c r="J25" s="195">
        <f t="shared" si="11"/>
        <v>0</v>
      </c>
      <c r="K25" s="221">
        <f t="shared" si="12"/>
        <v>0</v>
      </c>
      <c r="L25" s="214">
        <v>3</v>
      </c>
      <c r="M25" s="226" t="str">
        <f>IF(Paramètres!F7=0,"",Paramètres!F7)</f>
        <v/>
      </c>
      <c r="N25" s="216">
        <f t="shared" si="13"/>
        <v>0</v>
      </c>
      <c r="O25" s="227"/>
      <c r="P25" s="228"/>
      <c r="Q25" s="219">
        <f t="shared" si="14"/>
        <v>0</v>
      </c>
      <c r="R25" s="220">
        <f>IF(T$21="Error","Error",IF(AND($P$21&lt;&gt;"/",$P$21&gt;Paramètres!$AX4),Paramètres!$AX5,"/"))</f>
        <v>3</v>
      </c>
      <c r="S25" s="193">
        <f>IF(R25&lt;&gt;"/",VLOOKUP(R25,COSTS_Elixir_Storage[#All],2),"/")</f>
        <v>1500</v>
      </c>
      <c r="T25" s="194">
        <f>IF(R25&lt;&gt;"/",VLOOKUP(R25,COSTS_Elixir_Storage[#All],3),"/")</f>
        <v>1</v>
      </c>
      <c r="U25" s="193">
        <f t="shared" si="15"/>
        <v>0</v>
      </c>
      <c r="V25" s="221">
        <f t="shared" si="16"/>
        <v>0</v>
      </c>
    </row>
    <row r="26" spans="1:23" ht="15" customHeight="1" x14ac:dyDescent="0.25">
      <c r="A26" s="214">
        <v>4</v>
      </c>
      <c r="B26" s="226" t="str">
        <f>IF(Paramètres!D8=0,"",Paramètres!D8)</f>
        <v/>
      </c>
      <c r="C26" s="216">
        <f t="shared" si="9"/>
        <v>0</v>
      </c>
      <c r="D26" s="227"/>
      <c r="E26" s="228"/>
      <c r="F26" s="219" t="str">
        <f t="shared" si="10"/>
        <v>/</v>
      </c>
      <c r="G26" s="220" t="str">
        <f>IF(I$21="Error","Error",IF(AND($E$21&lt;&gt;"/",$E$21&gt;Paramètres!$AX5),Paramètres!$AX6,"/"))</f>
        <v>/</v>
      </c>
      <c r="H26" s="195" t="str">
        <f>IF(G26&lt;&gt;"/",VLOOKUP(G26,COSTS_Dark_Elixir_Drill[#All],2),"/")</f>
        <v>/</v>
      </c>
      <c r="I26" s="194" t="str">
        <f>IF(G26&lt;&gt;"/",VLOOKUP(G26,COSTS_Dark_Elixir_Drill[#All],3),"/")</f>
        <v>/</v>
      </c>
      <c r="J26" s="195">
        <f t="shared" si="11"/>
        <v>0</v>
      </c>
      <c r="K26" s="221">
        <f t="shared" si="12"/>
        <v>0</v>
      </c>
      <c r="L26" s="214">
        <v>4</v>
      </c>
      <c r="M26" s="226" t="str">
        <f>IF(Paramètres!F8=0,"",Paramètres!F8)</f>
        <v/>
      </c>
      <c r="N26" s="216">
        <f t="shared" si="13"/>
        <v>0</v>
      </c>
      <c r="O26" s="227"/>
      <c r="P26" s="228"/>
      <c r="Q26" s="219">
        <f t="shared" si="14"/>
        <v>0</v>
      </c>
      <c r="R26" s="220">
        <f>IF(T$21="Error","Error",IF(AND($P$21&lt;&gt;"/",$P$21&gt;Paramètres!$AX5),Paramètres!$AX6,"/"))</f>
        <v>4</v>
      </c>
      <c r="S26" s="193">
        <f>IF(R26&lt;&gt;"/",VLOOKUP(R26,COSTS_Elixir_Storage[#All],2),"/")</f>
        <v>3000</v>
      </c>
      <c r="T26" s="194">
        <f>IF(R26&lt;&gt;"/",VLOOKUP(R26,COSTS_Elixir_Storage[#All],3),"/")</f>
        <v>2</v>
      </c>
      <c r="U26" s="193">
        <f t="shared" si="15"/>
        <v>0</v>
      </c>
      <c r="V26" s="221">
        <f t="shared" si="16"/>
        <v>0</v>
      </c>
    </row>
    <row r="27" spans="1:23" ht="15" customHeight="1" x14ac:dyDescent="0.25">
      <c r="A27" s="214">
        <v>5</v>
      </c>
      <c r="B27" s="226" t="str">
        <f>IF(Paramètres!D9=0,"",Paramètres!D9)</f>
        <v/>
      </c>
      <c r="C27" s="216">
        <f t="shared" si="9"/>
        <v>0</v>
      </c>
      <c r="D27" s="227"/>
      <c r="E27" s="228"/>
      <c r="F27" s="219" t="str">
        <f t="shared" si="10"/>
        <v>/</v>
      </c>
      <c r="G27" s="220" t="str">
        <f>IF(I$21="Error","Error",IF(AND($E$21&lt;&gt;"/",$E$21&gt;Paramètres!$AX6),Paramètres!$AX7,"/"))</f>
        <v>/</v>
      </c>
      <c r="H27" s="195" t="str">
        <f>IF(G27&lt;&gt;"/",VLOOKUP(G27,COSTS_Dark_Elixir_Drill[#All],2),"/")</f>
        <v>/</v>
      </c>
      <c r="I27" s="194" t="str">
        <f>IF(G27&lt;&gt;"/",VLOOKUP(G27,COSTS_Dark_Elixir_Drill[#All],3),"/")</f>
        <v>/</v>
      </c>
      <c r="J27" s="195">
        <f t="shared" si="11"/>
        <v>0</v>
      </c>
      <c r="K27" s="221">
        <f t="shared" si="12"/>
        <v>0</v>
      </c>
      <c r="L27" s="214">
        <v>5</v>
      </c>
      <c r="M27" s="226" t="str">
        <f>IF(Paramètres!F9=0,"",Paramètres!F9)</f>
        <v/>
      </c>
      <c r="N27" s="216">
        <f t="shared" si="13"/>
        <v>0</v>
      </c>
      <c r="O27" s="227"/>
      <c r="P27" s="228"/>
      <c r="Q27" s="219">
        <f t="shared" si="14"/>
        <v>0</v>
      </c>
      <c r="R27" s="220">
        <f>IF(T$21="Error","Error",IF(AND($P$21&lt;&gt;"/",$P$21&gt;Paramètres!$AX6),Paramètres!$AX7,"/"))</f>
        <v>5</v>
      </c>
      <c r="S27" s="193">
        <f>IF(R27&lt;&gt;"/",VLOOKUP(R27,COSTS_Elixir_Storage[#All],2),"/")</f>
        <v>6000</v>
      </c>
      <c r="T27" s="194">
        <f>IF(R27&lt;&gt;"/",VLOOKUP(R27,COSTS_Elixir_Storage[#All],3),"/")</f>
        <v>3</v>
      </c>
      <c r="U27" s="193">
        <f t="shared" si="15"/>
        <v>0</v>
      </c>
      <c r="V27" s="221">
        <f t="shared" si="16"/>
        <v>0</v>
      </c>
    </row>
    <row r="28" spans="1:23" ht="15" customHeight="1" thickBot="1" x14ac:dyDescent="0.3">
      <c r="A28" s="214">
        <v>6</v>
      </c>
      <c r="B28" s="237" t="str">
        <f>IF(Paramètres!D10=0,"",Paramètres!D10)</f>
        <v/>
      </c>
      <c r="C28" s="216">
        <f t="shared" si="9"/>
        <v>0</v>
      </c>
      <c r="D28" s="227"/>
      <c r="E28" s="228"/>
      <c r="F28" s="243" t="str">
        <f t="shared" si="10"/>
        <v>/</v>
      </c>
      <c r="G28" s="241" t="str">
        <f>IF(I$21="Error","Error",IF(AND($E$21&lt;&gt;"/",$E$21&gt;Paramètres!$AX7),Paramètres!$AX8,"/"))</f>
        <v>/</v>
      </c>
      <c r="H28" s="232" t="str">
        <f>IF(G28&lt;&gt;"/",VLOOKUP(G28,COSTS_Dark_Elixir_Drill[#All],2),"/")</f>
        <v>/</v>
      </c>
      <c r="I28" s="233" t="str">
        <f>IF(G28&lt;&gt;"/",VLOOKUP(G28,COSTS_Dark_Elixir_Drill[#All],3),"/")</f>
        <v>/</v>
      </c>
      <c r="J28" s="232">
        <f t="shared" si="11"/>
        <v>0</v>
      </c>
      <c r="K28" s="242">
        <f t="shared" si="12"/>
        <v>0</v>
      </c>
      <c r="L28" s="214">
        <v>6</v>
      </c>
      <c r="M28" s="226" t="str">
        <f>IF(Paramètres!F10=0,"",Paramètres!F10)</f>
        <v/>
      </c>
      <c r="N28" s="216">
        <f t="shared" si="13"/>
        <v>0</v>
      </c>
      <c r="O28" s="227"/>
      <c r="P28" s="228"/>
      <c r="Q28" s="219">
        <f t="shared" si="14"/>
        <v>0</v>
      </c>
      <c r="R28" s="220">
        <f>IF(T$21="Error","Error",IF(AND($P$21&lt;&gt;"/",$P$21&gt;Paramètres!$AX7),Paramètres!$AX8,"/"))</f>
        <v>6</v>
      </c>
      <c r="S28" s="193">
        <f>IF(R28&lt;&gt;"/",VLOOKUP(R28,COSTS_Elixir_Storage[#All],2),"/")</f>
        <v>12000</v>
      </c>
      <c r="T28" s="194">
        <f>IF(R28&lt;&gt;"/",VLOOKUP(R28,COSTS_Elixir_Storage[#All],3),"/")</f>
        <v>4</v>
      </c>
      <c r="U28" s="193">
        <f t="shared" si="15"/>
        <v>0</v>
      </c>
      <c r="V28" s="221">
        <f t="shared" si="16"/>
        <v>0</v>
      </c>
    </row>
    <row r="29" spans="1:23" ht="15" customHeight="1" thickBot="1" x14ac:dyDescent="0.3">
      <c r="A29" s="420"/>
      <c r="B29" s="422"/>
      <c r="C29" s="421"/>
      <c r="D29" s="421"/>
      <c r="E29" s="421"/>
      <c r="F29" s="422"/>
      <c r="G29" s="422"/>
      <c r="H29" s="423"/>
      <c r="I29" s="160" t="s">
        <v>15</v>
      </c>
      <c r="J29" s="259">
        <f>IF(I$21="Error","Error",SUM(J23:J28))</f>
        <v>0</v>
      </c>
      <c r="K29" s="260">
        <f>IF(I$21="Error","Error",SUM(K23:K28))</f>
        <v>0</v>
      </c>
      <c r="L29" s="214">
        <v>7</v>
      </c>
      <c r="M29" s="226" t="str">
        <f>IF(Paramètres!F11=0,"",Paramètres!F11)</f>
        <v/>
      </c>
      <c r="N29" s="216">
        <f t="shared" si="13"/>
        <v>0</v>
      </c>
      <c r="O29" s="227"/>
      <c r="P29" s="228"/>
      <c r="Q29" s="219">
        <f t="shared" si="14"/>
        <v>0</v>
      </c>
      <c r="R29" s="220">
        <f>IF(T$21="Error","Error",IF(AND($P$21&lt;&gt;"/",$P$21&gt;Paramètres!$AX8),Paramètres!$AX9,"/"))</f>
        <v>7</v>
      </c>
      <c r="S29" s="193">
        <f>IF(R29&lt;&gt;"/",VLOOKUP(R29,COSTS_Elixir_Storage[#All],2),"/")</f>
        <v>25000</v>
      </c>
      <c r="T29" s="194">
        <f>IF(R29&lt;&gt;"/",VLOOKUP(R29,COSTS_Elixir_Storage[#All],3),"/")</f>
        <v>6</v>
      </c>
      <c r="U29" s="193">
        <f t="shared" si="15"/>
        <v>0</v>
      </c>
      <c r="V29" s="221">
        <f t="shared" si="16"/>
        <v>0</v>
      </c>
    </row>
    <row r="30" spans="1:23" ht="15" customHeight="1" x14ac:dyDescent="0.25">
      <c r="A30" s="414" t="s">
        <v>108</v>
      </c>
      <c r="B30" s="415"/>
      <c r="C30" s="416"/>
      <c r="D30" s="164" t="s">
        <v>16</v>
      </c>
      <c r="E30" s="165" t="s">
        <v>17</v>
      </c>
      <c r="F30" s="166"/>
      <c r="G30" s="167"/>
      <c r="H30" s="168"/>
      <c r="I30" s="164" t="s">
        <v>91</v>
      </c>
      <c r="J30" s="169" t="s">
        <v>90</v>
      </c>
      <c r="K30" s="165" t="s">
        <v>92</v>
      </c>
      <c r="L30" s="261">
        <v>8</v>
      </c>
      <c r="M30" s="226" t="str">
        <f>IF(Paramètres!F12=0,"",Paramètres!F12)</f>
        <v/>
      </c>
      <c r="N30" s="216">
        <f t="shared" si="13"/>
        <v>0</v>
      </c>
      <c r="O30" s="227"/>
      <c r="P30" s="228"/>
      <c r="Q30" s="219">
        <f t="shared" si="14"/>
        <v>0</v>
      </c>
      <c r="R30" s="220">
        <f>IF(T$21="Error","Error",IF(AND($P$21&lt;&gt;"/",$P$21&gt;Paramètres!$AX9),Paramètres!$AX10,"/"))</f>
        <v>8</v>
      </c>
      <c r="S30" s="193">
        <f>IF(R30&lt;&gt;"/",VLOOKUP(R30,COSTS_Elixir_Storage[#All],2),"/")</f>
        <v>50000</v>
      </c>
      <c r="T30" s="194">
        <f>IF(R30&lt;&gt;"/",VLOOKUP(R30,COSTS_Elixir_Storage[#All],3),"/")</f>
        <v>8</v>
      </c>
      <c r="U30" s="193">
        <f t="shared" si="15"/>
        <v>0</v>
      </c>
      <c r="V30" s="221">
        <f t="shared" si="16"/>
        <v>0</v>
      </c>
    </row>
    <row r="31" spans="1:23" ht="15" customHeight="1" thickBot="1" x14ac:dyDescent="0.3">
      <c r="A31" s="417"/>
      <c r="B31" s="418"/>
      <c r="C31" s="419"/>
      <c r="D31" s="183">
        <f>VLOOKUP($A$1,AVAILABLE_Buildings_Resource[#All],MATCH(A30,AVAILABLE_Buildings_Resource[#Headers],0))</f>
        <v>2</v>
      </c>
      <c r="E31" s="184">
        <f>VLOOKUP($A$1,AVAILABLE_Buildings_Resource[#All],MATCH(A30,AVAILABLE_Buildings_Resource[#Headers],0)+1)</f>
        <v>11</v>
      </c>
      <c r="F31" s="185"/>
      <c r="G31" s="186"/>
      <c r="H31" s="187"/>
      <c r="I31" s="183">
        <f>IF(SUM(B33:B43)&gt;D31,"Error",SUM(B33:B43))</f>
        <v>2</v>
      </c>
      <c r="J31" s="188">
        <f>IF(I$31="Error","Error",D31-I31)</f>
        <v>0</v>
      </c>
      <c r="K31" s="189">
        <f>IF(I$31="Error","Error",SUM(F33:F43))</f>
        <v>1</v>
      </c>
      <c r="L31" s="261">
        <v>9</v>
      </c>
      <c r="M31" s="226" t="str">
        <f>IF(Paramètres!F13=0,"",Paramètres!F13)</f>
        <v/>
      </c>
      <c r="N31" s="216">
        <f t="shared" si="13"/>
        <v>0</v>
      </c>
      <c r="O31" s="227"/>
      <c r="P31" s="228"/>
      <c r="Q31" s="219">
        <f t="shared" si="14"/>
        <v>0</v>
      </c>
      <c r="R31" s="220">
        <f>IF(T$21="Error","Error",IF(AND($P$21&lt;&gt;"/",$P$21&gt;Paramètres!$AX10),Paramètres!$AX11,"/"))</f>
        <v>9</v>
      </c>
      <c r="S31" s="193">
        <f>IF(R31&lt;&gt;"/",VLOOKUP(R31,COSTS_Elixir_Storage[#All],2),"/")</f>
        <v>100000</v>
      </c>
      <c r="T31" s="194">
        <f>IF(R31&lt;&gt;"/",VLOOKUP(R31,COSTS_Elixir_Storage[#All],3),"/")</f>
        <v>12</v>
      </c>
      <c r="U31" s="193">
        <f t="shared" si="15"/>
        <v>0</v>
      </c>
      <c r="V31" s="221">
        <f t="shared" si="16"/>
        <v>0</v>
      </c>
    </row>
    <row r="32" spans="1:23" ht="15" customHeight="1" thickBot="1" x14ac:dyDescent="0.3">
      <c r="A32" s="200" t="s">
        <v>14</v>
      </c>
      <c r="B32" s="201" t="s">
        <v>13</v>
      </c>
      <c r="C32" s="202"/>
      <c r="D32" s="202"/>
      <c r="E32" s="203"/>
      <c r="F32" s="208" t="s">
        <v>13</v>
      </c>
      <c r="G32" s="209" t="s">
        <v>14</v>
      </c>
      <c r="H32" s="206" t="s">
        <v>133</v>
      </c>
      <c r="I32" s="206" t="s">
        <v>134</v>
      </c>
      <c r="J32" s="206" t="s">
        <v>74</v>
      </c>
      <c r="K32" s="207" t="s">
        <v>75</v>
      </c>
      <c r="L32" s="214">
        <v>10</v>
      </c>
      <c r="M32" s="226">
        <f>IF(Paramètres!F14=0,"",Paramètres!F14)</f>
        <v>1</v>
      </c>
      <c r="N32" s="216">
        <f t="shared" si="13"/>
        <v>0</v>
      </c>
      <c r="O32" s="227"/>
      <c r="P32" s="228"/>
      <c r="Q32" s="219">
        <f t="shared" si="14"/>
        <v>0</v>
      </c>
      <c r="R32" s="220">
        <f>IF(T$21="Error","Error",IF(AND($P$21&lt;&gt;"/",$P$21&gt;Paramètres!$AX11),Paramètres!$AX12,"/"))</f>
        <v>10</v>
      </c>
      <c r="S32" s="193">
        <f>IF(R32&lt;&gt;"/",VLOOKUP(R32,COSTS_Elixir_Storage[#All],2),"/")</f>
        <v>250000</v>
      </c>
      <c r="T32" s="194">
        <f>IF(R32&lt;&gt;"/",VLOOKUP(R32,COSTS_Elixir_Storage[#All],3),"/")</f>
        <v>24</v>
      </c>
      <c r="U32" s="193">
        <f t="shared" si="15"/>
        <v>0</v>
      </c>
      <c r="V32" s="221">
        <f t="shared" si="16"/>
        <v>0</v>
      </c>
    </row>
    <row r="33" spans="1:28" ht="15" customHeight="1" thickBot="1" x14ac:dyDescent="0.3">
      <c r="A33" s="222">
        <v>1</v>
      </c>
      <c r="B33" s="215" t="str">
        <f>IF(Paramètres!E5=0,"",Paramètres!E5)</f>
        <v/>
      </c>
      <c r="C33" s="216">
        <f t="shared" ref="C33:C43" si="17">IF(C32&lt;&gt;0,C32+IF(AND(B32&lt;&gt;"",A32&lt;E$6),B32,0),IF(AND(B32&lt;&gt;"",A32&lt;E$6),B32,0))</f>
        <v>0</v>
      </c>
      <c r="D33" s="217"/>
      <c r="E33" s="218"/>
      <c r="F33" s="223">
        <f t="shared" ref="F33:F43" si="18">IF(G33&lt;&gt;"/",IF(I$31="Error","Error",$J$31+C33),"/")</f>
        <v>0</v>
      </c>
      <c r="G33" s="224">
        <f>IF(I$31="Error","Error",IF(AND($E$31&lt;&gt;"/",$E$31&gt;Paramètres!$AX2),Paramètres!$AX3,"/"))</f>
        <v>1</v>
      </c>
      <c r="H33" s="178">
        <f>IF(G33&lt;&gt;"/",VLOOKUP(G33,COSTS_Gold_Storage[#All],2),"/")</f>
        <v>300</v>
      </c>
      <c r="I33" s="179">
        <f>IF(G33&lt;&gt;"/",VLOOKUP(G33,COSTS_Gold_Storage[#All],3),"/")</f>
        <v>0.25</v>
      </c>
      <c r="J33" s="178">
        <f t="shared" ref="J33:J43" si="19">IF(I$31="Error","Error",IF(H33&lt;&gt;"/",F33*H33,0))</f>
        <v>0</v>
      </c>
      <c r="K33" s="225">
        <f t="shared" ref="K33:K43" si="20">IF(I$31="Error","Error",IF(I33&lt;&gt;"/",F33*I33,0))</f>
        <v>0</v>
      </c>
      <c r="L33" s="236">
        <v>11</v>
      </c>
      <c r="M33" s="237">
        <f>IF(Paramètres!F15=0,"",Paramètres!F15)</f>
        <v>1</v>
      </c>
      <c r="N33" s="238">
        <f t="shared" si="13"/>
        <v>1</v>
      </c>
      <c r="O33" s="239"/>
      <c r="P33" s="240"/>
      <c r="Q33" s="243">
        <f t="shared" si="14"/>
        <v>1</v>
      </c>
      <c r="R33" s="241">
        <f>IF(T$21="Error","Error",IF(AND($P$21&lt;&gt;"/",$P$21&gt;Paramètres!$AX12),Paramètres!$AX13,"/"))</f>
        <v>11</v>
      </c>
      <c r="S33" s="244">
        <f>IF(R33&lt;&gt;"/",VLOOKUP(R33,COSTS_Elixir_Storage[#All],2),"/")</f>
        <v>500000</v>
      </c>
      <c r="T33" s="233">
        <f>IF(R33&lt;&gt;"/",VLOOKUP(R33,COSTS_Elixir_Storage[#All],3),"/")</f>
        <v>48</v>
      </c>
      <c r="U33" s="244">
        <f t="shared" si="15"/>
        <v>500000</v>
      </c>
      <c r="V33" s="242">
        <f t="shared" si="16"/>
        <v>48</v>
      </c>
    </row>
    <row r="34" spans="1:28" ht="15" customHeight="1" thickBot="1" x14ac:dyDescent="0.3">
      <c r="A34" s="214">
        <v>2</v>
      </c>
      <c r="B34" s="226" t="str">
        <f>IF(Paramètres!E6=0,"",Paramètres!E6)</f>
        <v/>
      </c>
      <c r="C34" s="216">
        <f t="shared" si="17"/>
        <v>0</v>
      </c>
      <c r="D34" s="227"/>
      <c r="E34" s="228"/>
      <c r="F34" s="219">
        <f t="shared" si="18"/>
        <v>0</v>
      </c>
      <c r="G34" s="220">
        <f>IF(I$31="Error","Error",IF(AND($E$31&lt;&gt;"/",$E$31&gt;Paramètres!$AX3),Paramètres!$AX4,"/"))</f>
        <v>2</v>
      </c>
      <c r="H34" s="195">
        <f>IF(G34&lt;&gt;"/",VLOOKUP(G34,COSTS_Gold_Storage[#All],2),"/")</f>
        <v>750</v>
      </c>
      <c r="I34" s="194">
        <f>IF(G34&lt;&gt;"/",VLOOKUP(G34,COSTS_Gold_Storage[#All],3),"/")</f>
        <v>0.5</v>
      </c>
      <c r="J34" s="195">
        <f t="shared" si="19"/>
        <v>0</v>
      </c>
      <c r="K34" s="221">
        <f t="shared" si="20"/>
        <v>0</v>
      </c>
      <c r="L34" s="420"/>
      <c r="M34" s="422"/>
      <c r="N34" s="421"/>
      <c r="O34" s="421"/>
      <c r="P34" s="421"/>
      <c r="Q34" s="422"/>
      <c r="R34" s="422"/>
      <c r="S34" s="423"/>
      <c r="T34" s="158" t="s">
        <v>15</v>
      </c>
      <c r="U34" s="251">
        <f>IF(T$21="Error","Error",SUM(U23:U33))</f>
        <v>500000</v>
      </c>
      <c r="V34" s="252">
        <f>IF(T$21="Error","Error",SUM(V23:V33))</f>
        <v>48</v>
      </c>
    </row>
    <row r="35" spans="1:28" ht="15" customHeight="1" x14ac:dyDescent="0.25">
      <c r="A35" s="214">
        <v>3</v>
      </c>
      <c r="B35" s="226" t="str">
        <f>IF(Paramètres!E7=0,"",Paramètres!E7)</f>
        <v/>
      </c>
      <c r="C35" s="216">
        <f t="shared" si="17"/>
        <v>0</v>
      </c>
      <c r="D35" s="227"/>
      <c r="E35" s="228"/>
      <c r="F35" s="219">
        <f t="shared" si="18"/>
        <v>0</v>
      </c>
      <c r="G35" s="220">
        <f>IF(I$31="Error","Error",IF(AND($E$31&lt;&gt;"/",$E$31&gt;Paramètres!$AX4),Paramètres!$AX5,"/"))</f>
        <v>3</v>
      </c>
      <c r="H35" s="195">
        <f>IF(G35&lt;&gt;"/",VLOOKUP(G35,COSTS_Gold_Storage[#All],2),"/")</f>
        <v>1500</v>
      </c>
      <c r="I35" s="194">
        <f>IF(G35&lt;&gt;"/",VLOOKUP(G35,COSTS_Gold_Storage[#All],3),"/")</f>
        <v>1</v>
      </c>
      <c r="J35" s="195">
        <f t="shared" si="19"/>
        <v>0</v>
      </c>
      <c r="K35" s="221">
        <f t="shared" si="20"/>
        <v>0</v>
      </c>
    </row>
    <row r="36" spans="1:28" ht="15" customHeight="1" x14ac:dyDescent="0.25">
      <c r="A36" s="214">
        <v>4</v>
      </c>
      <c r="B36" s="226" t="str">
        <f>IF(Paramètres!E8=0,"",Paramètres!E8)</f>
        <v/>
      </c>
      <c r="C36" s="216">
        <f t="shared" si="17"/>
        <v>0</v>
      </c>
      <c r="D36" s="227"/>
      <c r="E36" s="228"/>
      <c r="F36" s="219">
        <f t="shared" si="18"/>
        <v>0</v>
      </c>
      <c r="G36" s="220">
        <f>IF(I$31="Error","Error",IF(AND($E$31&lt;&gt;"/",$E$31&gt;Paramètres!$AX5),Paramètres!$AX6,"/"))</f>
        <v>4</v>
      </c>
      <c r="H36" s="195">
        <f>IF(G36&lt;&gt;"/",VLOOKUP(G36,COSTS_Gold_Storage[#All],2),"/")</f>
        <v>3000</v>
      </c>
      <c r="I36" s="194">
        <f>IF(G36&lt;&gt;"/",VLOOKUP(G36,COSTS_Gold_Storage[#All],3),"/")</f>
        <v>2</v>
      </c>
      <c r="J36" s="195">
        <f t="shared" si="19"/>
        <v>0</v>
      </c>
      <c r="K36" s="221">
        <f t="shared" si="20"/>
        <v>0</v>
      </c>
    </row>
    <row r="37" spans="1:28" ht="15" customHeight="1" x14ac:dyDescent="0.25">
      <c r="A37" s="214">
        <v>5</v>
      </c>
      <c r="B37" s="226" t="str">
        <f>IF(Paramètres!E9=0,"",Paramètres!E9)</f>
        <v/>
      </c>
      <c r="C37" s="216">
        <f t="shared" si="17"/>
        <v>0</v>
      </c>
      <c r="D37" s="227"/>
      <c r="E37" s="228"/>
      <c r="F37" s="219">
        <f t="shared" si="18"/>
        <v>0</v>
      </c>
      <c r="G37" s="220">
        <f>IF(I$31="Error","Error",IF(AND($E$31&lt;&gt;"/",$E$31&gt;Paramètres!$AX6),Paramètres!$AX7,"/"))</f>
        <v>5</v>
      </c>
      <c r="H37" s="195">
        <f>IF(G37&lt;&gt;"/",VLOOKUP(G37,COSTS_Gold_Storage[#All],2),"/")</f>
        <v>6000</v>
      </c>
      <c r="I37" s="194">
        <f>IF(G37&lt;&gt;"/",VLOOKUP(G37,COSTS_Gold_Storage[#All],3),"/")</f>
        <v>3</v>
      </c>
      <c r="J37" s="195">
        <f t="shared" si="19"/>
        <v>0</v>
      </c>
      <c r="K37" s="221">
        <f t="shared" si="20"/>
        <v>0</v>
      </c>
    </row>
    <row r="38" spans="1:28" ht="15" customHeight="1" x14ac:dyDescent="0.25">
      <c r="A38" s="214">
        <v>6</v>
      </c>
      <c r="B38" s="226" t="str">
        <f>IF(Paramètres!E10=0,"",Paramètres!E10)</f>
        <v/>
      </c>
      <c r="C38" s="216">
        <f t="shared" si="17"/>
        <v>0</v>
      </c>
      <c r="D38" s="227"/>
      <c r="E38" s="228"/>
      <c r="F38" s="219">
        <f t="shared" si="18"/>
        <v>0</v>
      </c>
      <c r="G38" s="220">
        <f>IF(I$31="Error","Error",IF(AND($E$31&lt;&gt;"/",$E$31&gt;Paramètres!$AX7),Paramètres!$AX8,"/"))</f>
        <v>6</v>
      </c>
      <c r="H38" s="195">
        <f>IF(G38&lt;&gt;"/",VLOOKUP(G38,COSTS_Gold_Storage[#All],2),"/")</f>
        <v>12000</v>
      </c>
      <c r="I38" s="194">
        <f>IF(G38&lt;&gt;"/",VLOOKUP(G38,COSTS_Gold_Storage[#All],3),"/")</f>
        <v>4</v>
      </c>
      <c r="J38" s="195">
        <f t="shared" si="19"/>
        <v>0</v>
      </c>
      <c r="K38" s="221">
        <f t="shared" si="20"/>
        <v>0</v>
      </c>
    </row>
    <row r="39" spans="1:28" ht="15" customHeight="1" x14ac:dyDescent="0.25">
      <c r="A39" s="214">
        <v>7</v>
      </c>
      <c r="B39" s="226" t="str">
        <f>IF(Paramètres!E11=0,"",Paramètres!E11)</f>
        <v/>
      </c>
      <c r="C39" s="216">
        <f t="shared" si="17"/>
        <v>0</v>
      </c>
      <c r="D39" s="227"/>
      <c r="E39" s="228"/>
      <c r="F39" s="219">
        <f t="shared" si="18"/>
        <v>0</v>
      </c>
      <c r="G39" s="220">
        <f>IF(I$31="Error","Error",IF(AND($E$31&lt;&gt;"/",$E$31&gt;Paramètres!$AX8),Paramètres!$AX9,"/"))</f>
        <v>7</v>
      </c>
      <c r="H39" s="195">
        <f>IF(G39&lt;&gt;"/",VLOOKUP(G39,COSTS_Gold_Storage[#All],2),"/")</f>
        <v>25000</v>
      </c>
      <c r="I39" s="194">
        <f>IF(G39&lt;&gt;"/",VLOOKUP(G39,COSTS_Gold_Storage[#All],3),"/")</f>
        <v>6</v>
      </c>
      <c r="J39" s="195">
        <f t="shared" si="19"/>
        <v>0</v>
      </c>
      <c r="K39" s="221">
        <f t="shared" si="20"/>
        <v>0</v>
      </c>
    </row>
    <row r="40" spans="1:28" ht="15" customHeight="1" x14ac:dyDescent="0.25">
      <c r="A40" s="214">
        <v>8</v>
      </c>
      <c r="B40" s="226" t="str">
        <f>IF(Paramètres!E12=0,"",Paramètres!E12)</f>
        <v/>
      </c>
      <c r="C40" s="216">
        <f t="shared" si="17"/>
        <v>0</v>
      </c>
      <c r="D40" s="227"/>
      <c r="E40" s="228"/>
      <c r="F40" s="219">
        <f t="shared" si="18"/>
        <v>0</v>
      </c>
      <c r="G40" s="220">
        <f>IF(I$31="Error","Error",IF(AND($E$31&lt;&gt;"/",$E$31&gt;Paramètres!$AX9),Paramètres!$AX10,"/"))</f>
        <v>8</v>
      </c>
      <c r="H40" s="195">
        <f>IF(G40&lt;&gt;"/",VLOOKUP(G40,COSTS_Gold_Storage[#All],2),"/")</f>
        <v>50000</v>
      </c>
      <c r="I40" s="194">
        <f>IF(G40&lt;&gt;"/",VLOOKUP(G40,COSTS_Gold_Storage[#All],3),"/")</f>
        <v>8</v>
      </c>
      <c r="J40" s="195">
        <f t="shared" si="19"/>
        <v>0</v>
      </c>
      <c r="K40" s="221">
        <f t="shared" si="20"/>
        <v>0</v>
      </c>
    </row>
    <row r="41" spans="1:28" ht="15" customHeight="1" x14ac:dyDescent="0.25">
      <c r="A41" s="214">
        <v>9</v>
      </c>
      <c r="B41" s="226" t="str">
        <f>IF(Paramètres!E13=0,"",Paramètres!E13)</f>
        <v/>
      </c>
      <c r="C41" s="216">
        <f t="shared" si="17"/>
        <v>0</v>
      </c>
      <c r="D41" s="227"/>
      <c r="E41" s="228"/>
      <c r="F41" s="219">
        <f t="shared" si="18"/>
        <v>0</v>
      </c>
      <c r="G41" s="220">
        <f>IF(I$31="Error","Error",IF(AND($E$31&lt;&gt;"/",$E$31&gt;Paramètres!$AX10),Paramètres!$AX11,"/"))</f>
        <v>9</v>
      </c>
      <c r="H41" s="195">
        <f>IF(G41&lt;&gt;"/",VLOOKUP(G41,COSTS_Gold_Storage[#All],2),"/")</f>
        <v>100000</v>
      </c>
      <c r="I41" s="194">
        <f>IF(G41&lt;&gt;"/",VLOOKUP(G41,COSTS_Gold_Storage[#All],3),"/")</f>
        <v>12</v>
      </c>
      <c r="J41" s="195">
        <f t="shared" si="19"/>
        <v>0</v>
      </c>
      <c r="K41" s="221">
        <f t="shared" si="20"/>
        <v>0</v>
      </c>
    </row>
    <row r="42" spans="1:28" ht="15" customHeight="1" x14ac:dyDescent="0.25">
      <c r="A42" s="214">
        <v>10</v>
      </c>
      <c r="B42" s="226">
        <f>IF(Paramètres!E14=0,"",Paramètres!E14)</f>
        <v>1</v>
      </c>
      <c r="C42" s="216">
        <f t="shared" si="17"/>
        <v>0</v>
      </c>
      <c r="D42" s="227"/>
      <c r="E42" s="228"/>
      <c r="F42" s="219">
        <f t="shared" si="18"/>
        <v>0</v>
      </c>
      <c r="G42" s="220">
        <f>IF(I$31="Error","Error",IF(AND($E$31&lt;&gt;"/",$E$31&gt;Paramètres!$AX11),Paramètres!$AX12,"/"))</f>
        <v>10</v>
      </c>
      <c r="H42" s="195">
        <f>IF(G42&lt;&gt;"/",VLOOKUP(G42,COSTS_Gold_Storage[#All],2),"/")</f>
        <v>250000</v>
      </c>
      <c r="I42" s="194">
        <f>IF(G42&lt;&gt;"/",VLOOKUP(G42,COSTS_Gold_Storage[#All],3),"/")</f>
        <v>24</v>
      </c>
      <c r="J42" s="195">
        <f t="shared" si="19"/>
        <v>0</v>
      </c>
      <c r="K42" s="221">
        <f t="shared" si="20"/>
        <v>0</v>
      </c>
      <c r="W42" s="311"/>
      <c r="X42" s="311"/>
      <c r="Y42" s="311"/>
      <c r="Z42" s="311"/>
      <c r="AA42" s="311"/>
      <c r="AB42" s="311"/>
    </row>
    <row r="43" spans="1:28" ht="15" customHeight="1" thickBot="1" x14ac:dyDescent="0.3">
      <c r="A43" s="236">
        <v>11</v>
      </c>
      <c r="B43" s="237">
        <f>IF(Paramètres!E15=0,"",Paramètres!E15)</f>
        <v>1</v>
      </c>
      <c r="C43" s="238">
        <f t="shared" si="17"/>
        <v>1</v>
      </c>
      <c r="D43" s="239"/>
      <c r="E43" s="240"/>
      <c r="F43" s="243">
        <f t="shared" si="18"/>
        <v>1</v>
      </c>
      <c r="G43" s="241">
        <f>IF(I$31="Error","Error",IF(AND($E$31&lt;&gt;"/",$E$31&gt;Paramètres!$AX12),Paramètres!$AX13,"/"))</f>
        <v>11</v>
      </c>
      <c r="H43" s="232">
        <f>IF(G43&lt;&gt;"/",VLOOKUP(G43,COSTS_Gold_Storage[#All],2),"/")</f>
        <v>500000</v>
      </c>
      <c r="I43" s="233">
        <f>IF(G43&lt;&gt;"/",VLOOKUP(G43,COSTS_Gold_Storage[#All],3),"/")</f>
        <v>48</v>
      </c>
      <c r="J43" s="232">
        <f t="shared" si="19"/>
        <v>500000</v>
      </c>
      <c r="K43" s="242">
        <f t="shared" si="20"/>
        <v>48</v>
      </c>
      <c r="W43" s="311"/>
      <c r="X43" s="311"/>
      <c r="Y43" s="311"/>
      <c r="Z43" s="311"/>
      <c r="AA43" s="311"/>
      <c r="AB43" s="311"/>
    </row>
    <row r="44" spans="1:28" ht="15" customHeight="1" thickBot="1" x14ac:dyDescent="0.3">
      <c r="A44" s="420"/>
      <c r="B44" s="422"/>
      <c r="C44" s="421"/>
      <c r="D44" s="421"/>
      <c r="E44" s="421"/>
      <c r="F44" s="422"/>
      <c r="G44" s="422"/>
      <c r="H44" s="423"/>
      <c r="I44" s="248" t="s">
        <v>15</v>
      </c>
      <c r="J44" s="249">
        <f>IF(I$31="Error","Error",SUM(J33:J43))</f>
        <v>500000</v>
      </c>
      <c r="K44" s="250">
        <f>IF(I$31="Error","Error",SUM(K33:K43))</f>
        <v>48</v>
      </c>
      <c r="W44" s="311"/>
      <c r="X44" s="311"/>
      <c r="Y44" s="311"/>
      <c r="Z44" s="311"/>
      <c r="AA44" s="311"/>
      <c r="AB44" s="311"/>
    </row>
    <row r="45" spans="1:28" ht="15" customHeight="1" x14ac:dyDescent="0.25">
      <c r="A45" s="414" t="s">
        <v>132</v>
      </c>
      <c r="B45" s="415"/>
      <c r="C45" s="416"/>
      <c r="D45" s="164" t="s">
        <v>16</v>
      </c>
      <c r="E45" s="165" t="s">
        <v>17</v>
      </c>
      <c r="F45" s="166"/>
      <c r="G45" s="167"/>
      <c r="H45" s="168"/>
      <c r="I45" s="164" t="s">
        <v>91</v>
      </c>
      <c r="J45" s="169" t="s">
        <v>90</v>
      </c>
      <c r="K45" s="165" t="s">
        <v>92</v>
      </c>
      <c r="W45" s="311"/>
      <c r="X45" s="311"/>
      <c r="Y45" s="311"/>
      <c r="Z45" s="311"/>
      <c r="AA45" s="311"/>
      <c r="AB45" s="311"/>
    </row>
    <row r="46" spans="1:28" ht="15" customHeight="1" thickBot="1" x14ac:dyDescent="0.3">
      <c r="A46" s="417"/>
      <c r="B46" s="418"/>
      <c r="C46" s="419"/>
      <c r="D46" s="183">
        <f>VLOOKUP($A$1,AVAILABLE_Buildings_Resource[#All],MATCH(A45,AVAILABLE_Buildings_Resource[#Headers],0))</f>
        <v>1</v>
      </c>
      <c r="E46" s="184">
        <f>VLOOKUP($A$1,AVAILABLE_Buildings_Resource[#All],MATCH(A45,AVAILABLE_Buildings_Resource[#Headers],0)+1)</f>
        <v>2</v>
      </c>
      <c r="F46" s="185"/>
      <c r="G46" s="186"/>
      <c r="H46" s="187"/>
      <c r="I46" s="183">
        <f>IF(SUM(B48:B53)&gt;D46,"Error",SUM(B48:B53))</f>
        <v>1</v>
      </c>
      <c r="J46" s="188">
        <f>IF(I$46="Error","Error",D46-I46)</f>
        <v>0</v>
      </c>
      <c r="K46" s="189">
        <f>IF(I$46="Error","Error",SUM(F48:F53))</f>
        <v>1</v>
      </c>
    </row>
    <row r="47" spans="1:28" ht="15" customHeight="1" thickBot="1" x14ac:dyDescent="0.3">
      <c r="A47" s="200" t="s">
        <v>14</v>
      </c>
      <c r="B47" s="201" t="s">
        <v>13</v>
      </c>
      <c r="C47" s="202"/>
      <c r="D47" s="202"/>
      <c r="E47" s="203"/>
      <c r="F47" s="208" t="s">
        <v>13</v>
      </c>
      <c r="G47" s="209" t="s">
        <v>14</v>
      </c>
      <c r="H47" s="206" t="s">
        <v>133</v>
      </c>
      <c r="I47" s="206" t="s">
        <v>134</v>
      </c>
      <c r="J47" s="206" t="s">
        <v>74</v>
      </c>
      <c r="K47" s="207" t="s">
        <v>75</v>
      </c>
    </row>
    <row r="48" spans="1:28" ht="15" customHeight="1" x14ac:dyDescent="0.25">
      <c r="A48" s="222">
        <v>1</v>
      </c>
      <c r="B48" s="215">
        <f>IF(Paramètres!G5=0,"",Paramètres!G5)</f>
        <v>1</v>
      </c>
      <c r="C48" s="216">
        <f t="shared" ref="C48:C53" si="21">IF(C47&lt;&gt;0,C47+IF(AND(B47&lt;&gt;"",A47&lt;E$6),B47,0),IF(AND(B47&lt;&gt;"",A47&lt;E$6),B47,0))</f>
        <v>0</v>
      </c>
      <c r="D48" s="217"/>
      <c r="E48" s="218"/>
      <c r="F48" s="223">
        <f t="shared" ref="F48:F53" si="22">IF(G48&lt;&gt;"/",IF(I$46="Error","Error",$J$46+C48),"/")</f>
        <v>0</v>
      </c>
      <c r="G48" s="224">
        <f>IF(I$46="Error","Error",IF(AND($E$46&lt;&gt;"/",$E$46&gt;Paramètres!$AX2),Paramètres!$AX3,"/"))</f>
        <v>1</v>
      </c>
      <c r="H48" s="178">
        <f>IF(G48&lt;&gt;"/",VLOOKUP(G48,COSTS_Dark_Elixir_Storage[#All],2),"/")</f>
        <v>600000</v>
      </c>
      <c r="I48" s="179">
        <f>IF(G48&lt;&gt;"/",VLOOKUP(G48,COSTS_Dark_Elixir_Storage[#All],3),"/")</f>
        <v>24</v>
      </c>
      <c r="J48" s="178">
        <f t="shared" ref="J48:J53" si="23">IF(I$46="Error","Error",IF(H48&lt;&gt;"/",F48*H48,0))</f>
        <v>0</v>
      </c>
      <c r="K48" s="225">
        <f t="shared" ref="K48:K53" si="24">IF(I$46="Error","Error",IF(I48&lt;&gt;"/",F48*I48,0))</f>
        <v>0</v>
      </c>
    </row>
    <row r="49" spans="1:22" ht="15" customHeight="1" x14ac:dyDescent="0.25">
      <c r="A49" s="214">
        <v>2</v>
      </c>
      <c r="B49" s="226" t="str">
        <f>IF(Paramètres!G6=0,"",Paramètres!G6)</f>
        <v/>
      </c>
      <c r="C49" s="216">
        <f t="shared" si="21"/>
        <v>1</v>
      </c>
      <c r="D49" s="227"/>
      <c r="E49" s="228"/>
      <c r="F49" s="219">
        <f t="shared" si="22"/>
        <v>1</v>
      </c>
      <c r="G49" s="220">
        <f>IF(I$46="Error","Error",IF(AND($E$46&lt;&gt;"/",$E$46&gt;Paramètres!$AX3),Paramètres!$AX4,"/"))</f>
        <v>2</v>
      </c>
      <c r="H49" s="195">
        <f>IF(G49&lt;&gt;"/",VLOOKUP(G49,COSTS_Dark_Elixir_Storage[#All],2),"/")</f>
        <v>1200000</v>
      </c>
      <c r="I49" s="194">
        <f>IF(G49&lt;&gt;"/",VLOOKUP(G49,COSTS_Dark_Elixir_Storage[#All],3),"/")</f>
        <v>48</v>
      </c>
      <c r="J49" s="195">
        <f t="shared" si="23"/>
        <v>1200000</v>
      </c>
      <c r="K49" s="221">
        <f t="shared" si="24"/>
        <v>48</v>
      </c>
    </row>
    <row r="50" spans="1:22" ht="15" customHeight="1" x14ac:dyDescent="0.25">
      <c r="A50" s="214">
        <v>3</v>
      </c>
      <c r="B50" s="226" t="str">
        <f>IF(Paramètres!G7=0,"",Paramètres!G7)</f>
        <v/>
      </c>
      <c r="C50" s="216">
        <f t="shared" si="21"/>
        <v>1</v>
      </c>
      <c r="D50" s="227"/>
      <c r="E50" s="228"/>
      <c r="F50" s="219" t="str">
        <f t="shared" si="22"/>
        <v>/</v>
      </c>
      <c r="G50" s="220" t="str">
        <f>IF(I$46="Error","Error",IF(AND($E$46&lt;&gt;"/",$E$46&gt;Paramètres!$AX4),Paramètres!$AX5,"/"))</f>
        <v>/</v>
      </c>
      <c r="H50" s="195" t="str">
        <f>IF(G50&lt;&gt;"/",VLOOKUP(G50,COSTS_Dark_Elixir_Storage[#All],2),"/")</f>
        <v>/</v>
      </c>
      <c r="I50" s="194" t="str">
        <f>IF(G50&lt;&gt;"/",VLOOKUP(G50,COSTS_Dark_Elixir_Storage[#All],3),"/")</f>
        <v>/</v>
      </c>
      <c r="J50" s="195">
        <f t="shared" si="23"/>
        <v>0</v>
      </c>
      <c r="K50" s="221">
        <f t="shared" si="24"/>
        <v>0</v>
      </c>
    </row>
    <row r="51" spans="1:22" ht="15" customHeight="1" x14ac:dyDescent="0.25">
      <c r="A51" s="214">
        <v>4</v>
      </c>
      <c r="B51" s="226" t="str">
        <f>IF(Paramètres!G8=0,"",Paramètres!G8)</f>
        <v/>
      </c>
      <c r="C51" s="216">
        <f t="shared" si="21"/>
        <v>1</v>
      </c>
      <c r="D51" s="227"/>
      <c r="E51" s="228"/>
      <c r="F51" s="219" t="str">
        <f t="shared" si="22"/>
        <v>/</v>
      </c>
      <c r="G51" s="220" t="str">
        <f>IF(I$46="Error","Error",IF(AND($E$46&lt;&gt;"/",$E$46&gt;Paramètres!$AX5),Paramètres!$AX6,"/"))</f>
        <v>/</v>
      </c>
      <c r="H51" s="195" t="str">
        <f>IF(G51&lt;&gt;"/",VLOOKUP(G51,COSTS_Dark_Elixir_Storage[#All],2),"/")</f>
        <v>/</v>
      </c>
      <c r="I51" s="194" t="str">
        <f>IF(G51&lt;&gt;"/",VLOOKUP(G51,COSTS_Dark_Elixir_Storage[#All],3),"/")</f>
        <v>/</v>
      </c>
      <c r="J51" s="195">
        <f t="shared" si="23"/>
        <v>0</v>
      </c>
      <c r="K51" s="221">
        <f t="shared" si="24"/>
        <v>0</v>
      </c>
    </row>
    <row r="52" spans="1:22" ht="15" customHeight="1" x14ac:dyDescent="0.25">
      <c r="A52" s="214">
        <v>5</v>
      </c>
      <c r="B52" s="226" t="str">
        <f>IF(Paramètres!G9=0,"",Paramètres!G9)</f>
        <v/>
      </c>
      <c r="C52" s="216">
        <f t="shared" si="21"/>
        <v>1</v>
      </c>
      <c r="D52" s="227"/>
      <c r="E52" s="228"/>
      <c r="F52" s="219" t="str">
        <f t="shared" si="22"/>
        <v>/</v>
      </c>
      <c r="G52" s="220" t="str">
        <f>IF(I$46="Error","Error",IF(AND($E$46&lt;&gt;"/",$E$46&gt;Paramètres!$AX6),Paramètres!$AX7,"/"))</f>
        <v>/</v>
      </c>
      <c r="H52" s="195" t="str">
        <f>IF(G52&lt;&gt;"/",VLOOKUP(G52,COSTS_Dark_Elixir_Storage[#All],2),"/")</f>
        <v>/</v>
      </c>
      <c r="I52" s="194" t="str">
        <f>IF(G52&lt;&gt;"/",VLOOKUP(G52,COSTS_Dark_Elixir_Storage[#All],3),"/")</f>
        <v>/</v>
      </c>
      <c r="J52" s="195">
        <f t="shared" si="23"/>
        <v>0</v>
      </c>
      <c r="K52" s="221">
        <f t="shared" si="24"/>
        <v>0</v>
      </c>
    </row>
    <row r="53" spans="1:22" ht="15" customHeight="1" thickBot="1" x14ac:dyDescent="0.3">
      <c r="A53" s="214">
        <v>6</v>
      </c>
      <c r="B53" s="237" t="str">
        <f>IF(Paramètres!G10=0,"",Paramètres!G10)</f>
        <v/>
      </c>
      <c r="C53" s="216">
        <f t="shared" si="21"/>
        <v>1</v>
      </c>
      <c r="D53" s="227"/>
      <c r="E53" s="228"/>
      <c r="F53" s="243" t="str">
        <f t="shared" si="22"/>
        <v>/</v>
      </c>
      <c r="G53" s="241" t="str">
        <f>IF(I$46="Error","Error",IF(AND($E$46&lt;&gt;"/",$E$46&gt;Paramètres!$AX7),Paramètres!$AX8,"/"))</f>
        <v>/</v>
      </c>
      <c r="H53" s="232" t="str">
        <f>IF(G53&lt;&gt;"/",VLOOKUP(G53,COSTS_Dark_Elixir_Storage[#All],2),"/")</f>
        <v>/</v>
      </c>
      <c r="I53" s="233" t="str">
        <f>IF(G53&lt;&gt;"/",VLOOKUP(G53,COSTS_Dark_Elixir_Storage[#All],3),"/")</f>
        <v>/</v>
      </c>
      <c r="J53" s="232">
        <f t="shared" si="23"/>
        <v>0</v>
      </c>
      <c r="K53" s="242">
        <f t="shared" si="24"/>
        <v>0</v>
      </c>
    </row>
    <row r="54" spans="1:22" ht="15" customHeight="1" thickBot="1" x14ac:dyDescent="0.3">
      <c r="A54" s="420"/>
      <c r="B54" s="422"/>
      <c r="C54" s="421"/>
      <c r="D54" s="421"/>
      <c r="E54" s="421"/>
      <c r="F54" s="422"/>
      <c r="G54" s="422"/>
      <c r="H54" s="423"/>
      <c r="I54" s="248" t="s">
        <v>15</v>
      </c>
      <c r="J54" s="249">
        <f>IF(I$46="Error","Error",SUM(J48:J53))</f>
        <v>1200000</v>
      </c>
      <c r="K54" s="250">
        <f>IF(I$46="Error","Error",SUM(K48:K53))</f>
        <v>48</v>
      </c>
    </row>
    <row r="56" spans="1:22" ht="15" customHeight="1" thickBot="1" x14ac:dyDescent="0.3"/>
    <row r="57" spans="1:22" ht="30" customHeight="1" thickBot="1" x14ac:dyDescent="0.3">
      <c r="A57" s="410" t="s">
        <v>57</v>
      </c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44"/>
    </row>
    <row r="58" spans="1:22" ht="20.100000000000001" customHeight="1" thickBot="1" x14ac:dyDescent="0.3">
      <c r="A58" s="438" t="s">
        <v>77</v>
      </c>
      <c r="B58" s="439"/>
      <c r="C58" s="439"/>
      <c r="D58" s="439"/>
      <c r="E58" s="439"/>
      <c r="F58" s="439"/>
      <c r="G58" s="439"/>
      <c r="H58" s="439"/>
      <c r="I58" s="439"/>
      <c r="J58" s="439"/>
      <c r="K58" s="439"/>
      <c r="L58" s="440"/>
      <c r="M58" s="440"/>
      <c r="N58" s="440"/>
      <c r="O58" s="440"/>
      <c r="P58" s="440"/>
      <c r="Q58" s="440"/>
      <c r="R58" s="440"/>
      <c r="S58" s="440"/>
      <c r="T58" s="440"/>
      <c r="U58" s="440"/>
      <c r="V58" s="441"/>
    </row>
    <row r="59" spans="1:22" ht="15" customHeight="1" x14ac:dyDescent="0.25">
      <c r="A59" s="414" t="s">
        <v>112</v>
      </c>
      <c r="B59" s="415"/>
      <c r="C59" s="416"/>
      <c r="D59" s="164" t="s">
        <v>16</v>
      </c>
      <c r="E59" s="165" t="s">
        <v>17</v>
      </c>
      <c r="F59" s="166"/>
      <c r="G59" s="167"/>
      <c r="H59" s="168"/>
      <c r="I59" s="164" t="s">
        <v>91</v>
      </c>
      <c r="J59" s="169" t="s">
        <v>90</v>
      </c>
      <c r="K59" s="165" t="s">
        <v>92</v>
      </c>
      <c r="L59" s="414" t="s">
        <v>114</v>
      </c>
      <c r="M59" s="415"/>
      <c r="N59" s="416"/>
      <c r="O59" s="164" t="s">
        <v>16</v>
      </c>
      <c r="P59" s="165" t="s">
        <v>17</v>
      </c>
      <c r="Q59" s="166"/>
      <c r="R59" s="167"/>
      <c r="S59" s="168"/>
      <c r="T59" s="164" t="s">
        <v>91</v>
      </c>
      <c r="U59" s="169" t="s">
        <v>90</v>
      </c>
      <c r="V59" s="165" t="s">
        <v>92</v>
      </c>
    </row>
    <row r="60" spans="1:22" ht="15" customHeight="1" thickBot="1" x14ac:dyDescent="0.3">
      <c r="A60" s="417"/>
      <c r="B60" s="418"/>
      <c r="C60" s="419"/>
      <c r="D60" s="183">
        <f>VLOOKUP($A$1,AVAILABLE_Buildings_Army[#All],MATCH(A59,AVAILABLE_Buildings_Army[#Headers],0))</f>
        <v>4</v>
      </c>
      <c r="E60" s="184">
        <f>VLOOKUP($A$1,AVAILABLE_Buildings_Army[#All],MATCH(A59,AVAILABLE_Buildings_Army[#Headers],0)+1)</f>
        <v>9</v>
      </c>
      <c r="F60" s="185"/>
      <c r="G60" s="186"/>
      <c r="H60" s="187"/>
      <c r="I60" s="183">
        <f>IF(SUM(B62:B71)&gt;D60,"Error",SUM(B62:B71))</f>
        <v>4</v>
      </c>
      <c r="J60" s="188">
        <f>IF(I$60="Error","Error",D60-I60)</f>
        <v>0</v>
      </c>
      <c r="K60" s="189">
        <f>IF(I$60="Error","Error",SUM(F62:F71))</f>
        <v>4</v>
      </c>
      <c r="L60" s="417"/>
      <c r="M60" s="418"/>
      <c r="N60" s="419"/>
      <c r="O60" s="183">
        <f>VLOOKUP($A$1,AVAILABLE_Buildings_Army[#All],MATCH(L59,AVAILABLE_Buildings_Army[#Headers],0))</f>
        <v>1</v>
      </c>
      <c r="P60" s="184">
        <f>VLOOKUP($A$1,AVAILABLE_Buildings_Army[#All],MATCH(L59,AVAILABLE_Buildings_Army[#Headers],0)+1)</f>
        <v>5</v>
      </c>
      <c r="Q60" s="185"/>
      <c r="R60" s="186"/>
      <c r="S60" s="187"/>
      <c r="T60" s="183">
        <f>IF(SUM(M62:M69)&gt;O60,"Error",SUM(M62:M69))</f>
        <v>1</v>
      </c>
      <c r="U60" s="188">
        <f>IF(T$60="Error","Error",O60-T60)</f>
        <v>0</v>
      </c>
      <c r="V60" s="189">
        <f>IF(T$60="Error","Error",SUM(Q62:Q69))</f>
        <v>0</v>
      </c>
    </row>
    <row r="61" spans="1:22" ht="15" customHeight="1" thickBot="1" x14ac:dyDescent="0.3">
      <c r="A61" s="200" t="s">
        <v>14</v>
      </c>
      <c r="B61" s="262" t="s">
        <v>13</v>
      </c>
      <c r="C61" s="202"/>
      <c r="D61" s="202"/>
      <c r="E61" s="203"/>
      <c r="F61" s="208" t="s">
        <v>13</v>
      </c>
      <c r="G61" s="209" t="s">
        <v>14</v>
      </c>
      <c r="H61" s="206" t="s">
        <v>133</v>
      </c>
      <c r="I61" s="206" t="s">
        <v>134</v>
      </c>
      <c r="J61" s="206" t="s">
        <v>74</v>
      </c>
      <c r="K61" s="207" t="s">
        <v>75</v>
      </c>
      <c r="L61" s="200" t="s">
        <v>14</v>
      </c>
      <c r="M61" s="262" t="s">
        <v>13</v>
      </c>
      <c r="N61" s="202"/>
      <c r="O61" s="202"/>
      <c r="P61" s="203"/>
      <c r="Q61" s="208" t="s">
        <v>13</v>
      </c>
      <c r="R61" s="209" t="s">
        <v>14</v>
      </c>
      <c r="S61" s="206" t="s">
        <v>133</v>
      </c>
      <c r="T61" s="206" t="s">
        <v>134</v>
      </c>
      <c r="U61" s="206" t="s">
        <v>74</v>
      </c>
      <c r="V61" s="207" t="s">
        <v>75</v>
      </c>
    </row>
    <row r="62" spans="1:22" ht="15" customHeight="1" x14ac:dyDescent="0.25">
      <c r="A62" s="263">
        <v>1</v>
      </c>
      <c r="B62" s="264" t="str">
        <f>IF(Paramètres!H5=0,"",Paramètres!H5)</f>
        <v/>
      </c>
      <c r="C62" s="265">
        <f t="shared" ref="C62:C71" si="25">IF(C61&lt;&gt;0,C61+IF(AND(B61&lt;&gt;"",A61&lt;E$6),B61,0),IF(AND(B61&lt;&gt;"",A61&lt;E$6),B61,0))</f>
        <v>0</v>
      </c>
      <c r="D62" s="217"/>
      <c r="E62" s="218"/>
      <c r="F62" s="223">
        <f t="shared" ref="F62:F71" si="26">IF(G62&lt;&gt;"/",IF(I$60="Error","Error",$J$60+C62),"/")</f>
        <v>0</v>
      </c>
      <c r="G62" s="224">
        <f>IF(I$60="Error","Error",IF(AND($E$60&lt;&gt;"/",$E$60&gt;Paramètres!$AX2),Paramètres!$AX3,"/"))</f>
        <v>1</v>
      </c>
      <c r="H62" s="178">
        <f>IF(G62&lt;&gt;"/",VLOOKUP(G62,COSTS_Barrack[#All],2),"/")</f>
        <v>200</v>
      </c>
      <c r="I62" s="179">
        <f>IF(G62&lt;&gt;"/",VLOOKUP(G62,COSTS_Barrack[#All],3),"/")</f>
        <v>0.02</v>
      </c>
      <c r="J62" s="178">
        <f t="shared" ref="J62:J71" si="27">IF(I$60="Error","Error",IF(H62&lt;&gt;"/",F62*H62,0))</f>
        <v>0</v>
      </c>
      <c r="K62" s="225">
        <f t="shared" ref="K62:K71" si="28">IF(I$60="Error","Error",IF(I62&lt;&gt;"/",F62*I62,0))</f>
        <v>0</v>
      </c>
      <c r="L62" s="263">
        <v>1</v>
      </c>
      <c r="M62" s="264" t="str">
        <f>IF(Paramètres!K5=0,"",Paramètres!K5)</f>
        <v/>
      </c>
      <c r="N62" s="265">
        <f t="shared" ref="N62:N69" si="29">IF(N61&lt;&gt;0,N61+IF(AND(M61&lt;&gt;"",L61&lt;E$6),M61,0),IF(AND(M61&lt;&gt;"",L61&lt;E$6),M61,0))</f>
        <v>0</v>
      </c>
      <c r="O62" s="217"/>
      <c r="P62" s="218"/>
      <c r="Q62" s="223">
        <f t="shared" ref="Q62:Q69" si="30">IF(R62&lt;&gt;"/",IF(T$60="Error","Error",$U$60+N62),"/")</f>
        <v>0</v>
      </c>
      <c r="R62" s="224">
        <f>IF(T$60="Error","Error",IF(AND($P$60&lt;&gt;"/",$P$60&gt;Paramètres!$AX2),Paramètres!$AX3,"/"))</f>
        <v>1</v>
      </c>
      <c r="S62" s="178">
        <f>IF(R62&lt;&gt;"/",VLOOKUP(R62,COSTS_Laboratory[#All],2),"/")</f>
        <v>25000</v>
      </c>
      <c r="T62" s="179">
        <f>IF(R62&lt;&gt;"/",VLOOKUP(R62,COSTS_Laboratory[#All],3),"/")</f>
        <v>0.5</v>
      </c>
      <c r="U62" s="178">
        <f t="shared" ref="U62:U69" si="31">IF(T$60="Error","Error",IF(S62&lt;&gt;"/",Q62*S62,0))</f>
        <v>0</v>
      </c>
      <c r="V62" s="225">
        <f t="shared" ref="V62:V69" si="32">IF(T$60="Error","Error",IF(T62&lt;&gt;"/",Q62*T62,0))</f>
        <v>0</v>
      </c>
    </row>
    <row r="63" spans="1:22" ht="15" customHeight="1" x14ac:dyDescent="0.25">
      <c r="A63" s="266">
        <v>2</v>
      </c>
      <c r="B63" s="264" t="str">
        <f>IF(Paramètres!H6=0,"",Paramètres!H6)</f>
        <v/>
      </c>
      <c r="C63" s="265">
        <f t="shared" si="25"/>
        <v>0</v>
      </c>
      <c r="D63" s="227"/>
      <c r="E63" s="228"/>
      <c r="F63" s="219">
        <f t="shared" si="26"/>
        <v>0</v>
      </c>
      <c r="G63" s="220">
        <f>IF(I$60="Error","Error",IF(AND($E$60&lt;&gt;"/",$E$60&gt;Paramètres!$AX3),Paramètres!$AX4,"/"))</f>
        <v>2</v>
      </c>
      <c r="H63" s="195">
        <f>IF(G63&lt;&gt;"/",VLOOKUP(G63,COSTS_Barrack[#All],2),"/")</f>
        <v>1000</v>
      </c>
      <c r="I63" s="194">
        <f>IF(G63&lt;&gt;"/",VLOOKUP(G63,COSTS_Barrack[#All],3),"/")</f>
        <v>0.25</v>
      </c>
      <c r="J63" s="195">
        <f t="shared" si="27"/>
        <v>0</v>
      </c>
      <c r="K63" s="221">
        <f t="shared" si="28"/>
        <v>0</v>
      </c>
      <c r="L63" s="266">
        <v>2</v>
      </c>
      <c r="M63" s="264" t="str">
        <f>IF(Paramètres!K6=0,"",Paramètres!K6)</f>
        <v/>
      </c>
      <c r="N63" s="265">
        <f t="shared" si="29"/>
        <v>0</v>
      </c>
      <c r="O63" s="227"/>
      <c r="P63" s="228"/>
      <c r="Q63" s="219">
        <f t="shared" si="30"/>
        <v>0</v>
      </c>
      <c r="R63" s="220">
        <f>IF(T$60="Error","Error",IF(AND($P$60&lt;&gt;"/",$P$60&gt;Paramètres!$AX3),Paramètres!$AX4,"/"))</f>
        <v>2</v>
      </c>
      <c r="S63" s="195">
        <f>IF(R63&lt;&gt;"/",VLOOKUP(R63,COSTS_Laboratory[#All],2),"/")</f>
        <v>50000</v>
      </c>
      <c r="T63" s="194">
        <f>IF(R63&lt;&gt;"/",VLOOKUP(R63,COSTS_Laboratory[#All],3),"/")</f>
        <v>5</v>
      </c>
      <c r="U63" s="195">
        <f t="shared" si="31"/>
        <v>0</v>
      </c>
      <c r="V63" s="221">
        <f t="shared" si="32"/>
        <v>0</v>
      </c>
    </row>
    <row r="64" spans="1:22" ht="15" customHeight="1" x14ac:dyDescent="0.25">
      <c r="A64" s="266">
        <v>3</v>
      </c>
      <c r="B64" s="264" t="str">
        <f>IF(Paramètres!H7=0,"",Paramètres!H7)</f>
        <v/>
      </c>
      <c r="C64" s="265">
        <f t="shared" si="25"/>
        <v>0</v>
      </c>
      <c r="D64" s="227"/>
      <c r="E64" s="228"/>
      <c r="F64" s="219">
        <f t="shared" si="26"/>
        <v>0</v>
      </c>
      <c r="G64" s="220">
        <f>IF(I$60="Error","Error",IF(AND($E$60&lt;&gt;"/",$E$60&gt;Paramètres!$AX4),Paramètres!$AX5,"/"))</f>
        <v>3</v>
      </c>
      <c r="H64" s="195">
        <f>IF(G64&lt;&gt;"/",VLOOKUP(G64,COSTS_Barrack[#All],2),"/")</f>
        <v>2500</v>
      </c>
      <c r="I64" s="194">
        <f>IF(G64&lt;&gt;"/",VLOOKUP(G64,COSTS_Barrack[#All],3),"/")</f>
        <v>2</v>
      </c>
      <c r="J64" s="195">
        <f t="shared" si="27"/>
        <v>0</v>
      </c>
      <c r="K64" s="221">
        <f t="shared" si="28"/>
        <v>0</v>
      </c>
      <c r="L64" s="266">
        <v>3</v>
      </c>
      <c r="M64" s="264" t="str">
        <f>IF(Paramètres!K7=0,"",Paramètres!K7)</f>
        <v/>
      </c>
      <c r="N64" s="265">
        <f t="shared" si="29"/>
        <v>0</v>
      </c>
      <c r="O64" s="227"/>
      <c r="P64" s="228"/>
      <c r="Q64" s="219">
        <f t="shared" si="30"/>
        <v>0</v>
      </c>
      <c r="R64" s="220">
        <f>IF(T$60="Error","Error",IF(AND($P$60&lt;&gt;"/",$P$60&gt;Paramètres!$AX4),Paramètres!$AX5,"/"))</f>
        <v>3</v>
      </c>
      <c r="S64" s="195">
        <f>IF(R64&lt;&gt;"/",VLOOKUP(R64,COSTS_Laboratory[#All],2),"/")</f>
        <v>90000</v>
      </c>
      <c r="T64" s="194">
        <f>IF(R64&lt;&gt;"/",VLOOKUP(R64,COSTS_Laboratory[#All],3),"/")</f>
        <v>12</v>
      </c>
      <c r="U64" s="195">
        <f t="shared" si="31"/>
        <v>0</v>
      </c>
      <c r="V64" s="221">
        <f t="shared" si="32"/>
        <v>0</v>
      </c>
    </row>
    <row r="65" spans="1:22" ht="15" customHeight="1" x14ac:dyDescent="0.25">
      <c r="A65" s="266">
        <v>4</v>
      </c>
      <c r="B65" s="264" t="str">
        <f>IF(Paramètres!H8=0,"",Paramètres!H8)</f>
        <v/>
      </c>
      <c r="C65" s="265">
        <f t="shared" si="25"/>
        <v>0</v>
      </c>
      <c r="D65" s="227"/>
      <c r="E65" s="228"/>
      <c r="F65" s="219">
        <f t="shared" si="26"/>
        <v>0</v>
      </c>
      <c r="G65" s="220">
        <f>IF(I$60="Error","Error",IF(AND($E$60&lt;&gt;"/",$E$60&gt;Paramètres!$AX5),Paramètres!$AX6,"/"))</f>
        <v>4</v>
      </c>
      <c r="H65" s="195">
        <f>IF(G65&lt;&gt;"/",VLOOKUP(G65,COSTS_Barrack[#All],2),"/")</f>
        <v>5000</v>
      </c>
      <c r="I65" s="194">
        <f>IF(G65&lt;&gt;"/",VLOOKUP(G65,COSTS_Barrack[#All],3),"/")</f>
        <v>4</v>
      </c>
      <c r="J65" s="195">
        <f t="shared" si="27"/>
        <v>0</v>
      </c>
      <c r="K65" s="221">
        <f t="shared" si="28"/>
        <v>0</v>
      </c>
      <c r="L65" s="266">
        <v>4</v>
      </c>
      <c r="M65" s="264" t="str">
        <f>IF(Paramètres!K8=0,"",Paramètres!K8)</f>
        <v/>
      </c>
      <c r="N65" s="265">
        <f t="shared" si="29"/>
        <v>0</v>
      </c>
      <c r="O65" s="227"/>
      <c r="P65" s="228"/>
      <c r="Q65" s="219">
        <f t="shared" si="30"/>
        <v>0</v>
      </c>
      <c r="R65" s="220">
        <f>IF(T$60="Error","Error",IF(AND($P$60&lt;&gt;"/",$P$60&gt;Paramètres!$AX5),Paramètres!$AX6,"/"))</f>
        <v>4</v>
      </c>
      <c r="S65" s="195">
        <f>IF(R65&lt;&gt;"/",VLOOKUP(R65,COSTS_Laboratory[#All],2),"/")</f>
        <v>270000</v>
      </c>
      <c r="T65" s="194">
        <f>IF(R65&lt;&gt;"/",VLOOKUP(R65,COSTS_Laboratory[#All],3),"/")</f>
        <v>24</v>
      </c>
      <c r="U65" s="195">
        <f t="shared" si="31"/>
        <v>0</v>
      </c>
      <c r="V65" s="221">
        <f t="shared" si="32"/>
        <v>0</v>
      </c>
    </row>
    <row r="66" spans="1:22" ht="15" customHeight="1" x14ac:dyDescent="0.25">
      <c r="A66" s="266">
        <v>5</v>
      </c>
      <c r="B66" s="264" t="str">
        <f>IF(Paramètres!H9=0,"",Paramètres!H9)</f>
        <v/>
      </c>
      <c r="C66" s="265">
        <f t="shared" si="25"/>
        <v>0</v>
      </c>
      <c r="D66" s="227"/>
      <c r="E66" s="228"/>
      <c r="F66" s="219">
        <f t="shared" si="26"/>
        <v>0</v>
      </c>
      <c r="G66" s="220">
        <f>IF(I$60="Error","Error",IF(AND($E$60&lt;&gt;"/",$E$60&gt;Paramètres!$AX6),Paramètres!$AX7,"/"))</f>
        <v>5</v>
      </c>
      <c r="H66" s="195">
        <f>IF(G66&lt;&gt;"/",VLOOKUP(G66,COSTS_Barrack[#All],2),"/")</f>
        <v>10000</v>
      </c>
      <c r="I66" s="194">
        <f>IF(G66&lt;&gt;"/",VLOOKUP(G66,COSTS_Barrack[#All],3),"/")</f>
        <v>10</v>
      </c>
      <c r="J66" s="195">
        <f t="shared" si="27"/>
        <v>0</v>
      </c>
      <c r="K66" s="221">
        <f t="shared" si="28"/>
        <v>0</v>
      </c>
      <c r="L66" s="266">
        <v>5</v>
      </c>
      <c r="M66" s="264">
        <f>IF(Paramètres!K9=0,"",Paramètres!K9)</f>
        <v>1</v>
      </c>
      <c r="N66" s="265">
        <f t="shared" si="29"/>
        <v>0</v>
      </c>
      <c r="O66" s="227"/>
      <c r="P66" s="228"/>
      <c r="Q66" s="219">
        <f t="shared" si="30"/>
        <v>0</v>
      </c>
      <c r="R66" s="220">
        <f>IF(T$60="Error","Error",IF(AND($P$60&lt;&gt;"/",$P$60&gt;Paramètres!$AX6),Paramètres!$AX7,"/"))</f>
        <v>5</v>
      </c>
      <c r="S66" s="195">
        <f>IF(R66&lt;&gt;"/",VLOOKUP(R66,COSTS_Laboratory[#All],2),"/")</f>
        <v>500000</v>
      </c>
      <c r="T66" s="194">
        <f>IF(R66&lt;&gt;"/",VLOOKUP(R66,COSTS_Laboratory[#All],3),"/")</f>
        <v>48</v>
      </c>
      <c r="U66" s="195">
        <f t="shared" si="31"/>
        <v>0</v>
      </c>
      <c r="V66" s="221">
        <f t="shared" si="32"/>
        <v>0</v>
      </c>
    </row>
    <row r="67" spans="1:22" ht="15" customHeight="1" x14ac:dyDescent="0.25">
      <c r="A67" s="266">
        <v>6</v>
      </c>
      <c r="B67" s="264" t="str">
        <f>IF(Paramètres!H10=0,"",Paramètres!H10)</f>
        <v/>
      </c>
      <c r="C67" s="265">
        <f t="shared" si="25"/>
        <v>0</v>
      </c>
      <c r="D67" s="227"/>
      <c r="E67" s="228"/>
      <c r="F67" s="219">
        <f t="shared" si="26"/>
        <v>0</v>
      </c>
      <c r="G67" s="220">
        <f>IF(I$60="Error","Error",IF(AND($E$60&lt;&gt;"/",$E$60&gt;Paramètres!$AX7),Paramètres!$AX8,"/"))</f>
        <v>6</v>
      </c>
      <c r="H67" s="195">
        <f>IF(G67&lt;&gt;"/",VLOOKUP(G67,COSTS_Barrack[#All],2),"/")</f>
        <v>80000</v>
      </c>
      <c r="I67" s="194">
        <f>IF(G67&lt;&gt;"/",VLOOKUP(G67,COSTS_Barrack[#All],3),"/")</f>
        <v>16</v>
      </c>
      <c r="J67" s="195">
        <f t="shared" si="27"/>
        <v>0</v>
      </c>
      <c r="K67" s="221">
        <f t="shared" si="28"/>
        <v>0</v>
      </c>
      <c r="L67" s="266">
        <v>6</v>
      </c>
      <c r="M67" s="264" t="str">
        <f>IF(Paramètres!K10=0,"",Paramètres!K10)</f>
        <v/>
      </c>
      <c r="N67" s="265">
        <f t="shared" si="29"/>
        <v>1</v>
      </c>
      <c r="O67" s="227"/>
      <c r="P67" s="228"/>
      <c r="Q67" s="219" t="str">
        <f t="shared" si="30"/>
        <v>/</v>
      </c>
      <c r="R67" s="220" t="str">
        <f>IF(T$60="Error","Error",IF(AND($P$60&lt;&gt;"/",$P$60&gt;Paramètres!$AX7),Paramètres!$AX8,"/"))</f>
        <v>/</v>
      </c>
      <c r="S67" s="195" t="str">
        <f>IF(R67&lt;&gt;"/",VLOOKUP(R67,COSTS_Laboratory[#All],2),"/")</f>
        <v>/</v>
      </c>
      <c r="T67" s="194" t="str">
        <f>IF(R67&lt;&gt;"/",VLOOKUP(R67,COSTS_Laboratory[#All],3),"/")</f>
        <v>/</v>
      </c>
      <c r="U67" s="195">
        <f t="shared" si="31"/>
        <v>0</v>
      </c>
      <c r="V67" s="221">
        <f t="shared" si="32"/>
        <v>0</v>
      </c>
    </row>
    <row r="68" spans="1:22" ht="15" customHeight="1" x14ac:dyDescent="0.25">
      <c r="A68" s="266">
        <v>7</v>
      </c>
      <c r="B68" s="264">
        <f>IF(Paramètres!H11=0,"",Paramètres!H11)</f>
        <v>1</v>
      </c>
      <c r="C68" s="265">
        <f t="shared" si="25"/>
        <v>0</v>
      </c>
      <c r="D68" s="227"/>
      <c r="E68" s="228"/>
      <c r="F68" s="219">
        <f t="shared" si="26"/>
        <v>0</v>
      </c>
      <c r="G68" s="220">
        <f>IF(I$60="Error","Error",IF(AND($E$60&lt;&gt;"/",$E$60&gt;Paramètres!$AX8),Paramètres!$AX9,"/"))</f>
        <v>7</v>
      </c>
      <c r="H68" s="195">
        <f>IF(G68&lt;&gt;"/",VLOOKUP(G68,COSTS_Barrack[#All],2),"/")</f>
        <v>240000</v>
      </c>
      <c r="I68" s="194">
        <f>IF(G68&lt;&gt;"/",VLOOKUP(G68,COSTS_Barrack[#All],3),"/")</f>
        <v>24</v>
      </c>
      <c r="J68" s="195">
        <f t="shared" si="27"/>
        <v>0</v>
      </c>
      <c r="K68" s="221">
        <f t="shared" si="28"/>
        <v>0</v>
      </c>
      <c r="L68" s="266">
        <v>7</v>
      </c>
      <c r="M68" s="264" t="str">
        <f>IF(Paramètres!K11=0,"",Paramètres!K11)</f>
        <v/>
      </c>
      <c r="N68" s="265">
        <f t="shared" si="29"/>
        <v>1</v>
      </c>
      <c r="O68" s="227"/>
      <c r="P68" s="228"/>
      <c r="Q68" s="219" t="str">
        <f t="shared" si="30"/>
        <v>/</v>
      </c>
      <c r="R68" s="220" t="str">
        <f>IF(T$60="Error","Error",IF(AND($P$60&lt;&gt;"/",$P$60&gt;Paramètres!$AX8),Paramètres!$AX9,"/"))</f>
        <v>/</v>
      </c>
      <c r="S68" s="195" t="str">
        <f>IF(R68&lt;&gt;"/",VLOOKUP(R68,COSTS_Laboratory[#All],2),"/")</f>
        <v>/</v>
      </c>
      <c r="T68" s="194" t="str">
        <f>IF(R68&lt;&gt;"/",VLOOKUP(R68,COSTS_Laboratory[#All],3),"/")</f>
        <v>/</v>
      </c>
      <c r="U68" s="195">
        <f t="shared" si="31"/>
        <v>0</v>
      </c>
      <c r="V68" s="221">
        <f t="shared" si="32"/>
        <v>0</v>
      </c>
    </row>
    <row r="69" spans="1:22" ht="15" customHeight="1" thickBot="1" x14ac:dyDescent="0.3">
      <c r="A69" s="266">
        <v>8</v>
      </c>
      <c r="B69" s="264">
        <f>IF(Paramètres!H12=0,"",Paramètres!H12)</f>
        <v>2</v>
      </c>
      <c r="C69" s="265">
        <f t="shared" si="25"/>
        <v>1</v>
      </c>
      <c r="D69" s="227"/>
      <c r="E69" s="228"/>
      <c r="F69" s="219">
        <f t="shared" si="26"/>
        <v>1</v>
      </c>
      <c r="G69" s="220">
        <f>IF(I$60="Error","Error",IF(AND($E$60&lt;&gt;"/",$E$60&gt;Paramètres!$AX9),Paramètres!$AX10,"/"))</f>
        <v>8</v>
      </c>
      <c r="H69" s="195">
        <f>IF(G69&lt;&gt;"/",VLOOKUP(G69,COSTS_Barrack[#All],2),"/")</f>
        <v>700000</v>
      </c>
      <c r="I69" s="194">
        <f>IF(G69&lt;&gt;"/",VLOOKUP(G69,COSTS_Barrack[#All],3),"/")</f>
        <v>48</v>
      </c>
      <c r="J69" s="195">
        <f t="shared" si="27"/>
        <v>700000</v>
      </c>
      <c r="K69" s="221">
        <f t="shared" si="28"/>
        <v>48</v>
      </c>
      <c r="L69" s="266">
        <v>8</v>
      </c>
      <c r="M69" s="264" t="str">
        <f>IF(Paramètres!K12=0,"",Paramètres!K12)</f>
        <v/>
      </c>
      <c r="N69" s="265">
        <f t="shared" si="29"/>
        <v>1</v>
      </c>
      <c r="O69" s="227"/>
      <c r="P69" s="228"/>
      <c r="Q69" s="243" t="str">
        <f t="shared" si="30"/>
        <v>/</v>
      </c>
      <c r="R69" s="241" t="str">
        <f>IF(T$60="Error","Error",IF(AND($P$60&lt;&gt;"/",$P$60&gt;Paramètres!$AX9),Paramètres!$AX10,"/"))</f>
        <v>/</v>
      </c>
      <c r="S69" s="232" t="str">
        <f>IF(R69&lt;&gt;"/",VLOOKUP(R69,COSTS_Laboratory[#All],2),"/")</f>
        <v>/</v>
      </c>
      <c r="T69" s="233" t="str">
        <f>IF(R69&lt;&gt;"/",VLOOKUP(R69,COSTS_Laboratory[#All],3),"/")</f>
        <v>/</v>
      </c>
      <c r="U69" s="232">
        <f t="shared" si="31"/>
        <v>0</v>
      </c>
      <c r="V69" s="242">
        <f t="shared" si="32"/>
        <v>0</v>
      </c>
    </row>
    <row r="70" spans="1:22" ht="15" customHeight="1" thickBot="1" x14ac:dyDescent="0.3">
      <c r="A70" s="266">
        <v>9</v>
      </c>
      <c r="B70" s="264">
        <f>IF(Paramètres!H13=0,"",Paramètres!H13)</f>
        <v>1</v>
      </c>
      <c r="C70" s="265">
        <f t="shared" si="25"/>
        <v>3</v>
      </c>
      <c r="D70" s="227"/>
      <c r="E70" s="228"/>
      <c r="F70" s="219">
        <f t="shared" si="26"/>
        <v>3</v>
      </c>
      <c r="G70" s="220">
        <f>IF(I$60="Error","Error",IF(AND($E$60&lt;&gt;"/",$E$60&gt;Paramètres!$AX10),Paramètres!$AX11,"/"))</f>
        <v>9</v>
      </c>
      <c r="H70" s="195">
        <f>IF(G70&lt;&gt;"/",VLOOKUP(G70,COSTS_Barrack[#All],2),"/")</f>
        <v>1500000</v>
      </c>
      <c r="I70" s="194">
        <f>IF(G70&lt;&gt;"/",VLOOKUP(G70,COSTS_Barrack[#All],3),"/")</f>
        <v>96</v>
      </c>
      <c r="J70" s="195">
        <f t="shared" si="27"/>
        <v>4500000</v>
      </c>
      <c r="K70" s="221">
        <f t="shared" si="28"/>
        <v>288</v>
      </c>
      <c r="L70" s="420"/>
      <c r="M70" s="421"/>
      <c r="N70" s="421"/>
      <c r="O70" s="421"/>
      <c r="P70" s="421"/>
      <c r="Q70" s="422"/>
      <c r="R70" s="422"/>
      <c r="S70" s="423"/>
      <c r="T70" s="158" t="s">
        <v>15</v>
      </c>
      <c r="U70" s="267">
        <f>IF(T$60="Error","Error",SUM(U62:U69))</f>
        <v>0</v>
      </c>
      <c r="V70" s="252">
        <f>IF(T$60="Error","Error",SUM(V62:V69))</f>
        <v>0</v>
      </c>
    </row>
    <row r="71" spans="1:22" ht="15" customHeight="1" thickBot="1" x14ac:dyDescent="0.3">
      <c r="A71" s="266">
        <v>10</v>
      </c>
      <c r="B71" s="264" t="str">
        <f>IF(Paramètres!H14=0,"",Paramètres!H14)</f>
        <v/>
      </c>
      <c r="C71" s="265">
        <f t="shared" si="25"/>
        <v>4</v>
      </c>
      <c r="D71" s="227"/>
      <c r="E71" s="228"/>
      <c r="F71" s="243" t="str">
        <f t="shared" si="26"/>
        <v>/</v>
      </c>
      <c r="G71" s="241" t="str">
        <f>IF(I$60="Error","Error",IF(AND($E$60&lt;&gt;"/",$E$60&gt;Paramètres!$AX11),Paramètres!$AX12,"/"))</f>
        <v>/</v>
      </c>
      <c r="H71" s="232" t="str">
        <f>IF(G71&lt;&gt;"/",VLOOKUP(G71,COSTS_Barrack[#All],2),"/")</f>
        <v>/</v>
      </c>
      <c r="I71" s="233" t="str">
        <f>IF(G71&lt;&gt;"/",VLOOKUP(G71,COSTS_Barrack[#All],3),"/")</f>
        <v>/</v>
      </c>
      <c r="J71" s="232">
        <f t="shared" si="27"/>
        <v>0</v>
      </c>
      <c r="K71" s="242">
        <f t="shared" si="28"/>
        <v>0</v>
      </c>
      <c r="L71" s="414" t="s">
        <v>130</v>
      </c>
      <c r="M71" s="415"/>
      <c r="N71" s="416"/>
      <c r="O71" s="164" t="s">
        <v>16</v>
      </c>
      <c r="P71" s="165" t="s">
        <v>17</v>
      </c>
      <c r="Q71" s="166"/>
      <c r="R71" s="167"/>
      <c r="S71" s="168"/>
      <c r="T71" s="164" t="s">
        <v>91</v>
      </c>
      <c r="U71" s="169" t="s">
        <v>90</v>
      </c>
      <c r="V71" s="165" t="s">
        <v>92</v>
      </c>
    </row>
    <row r="72" spans="1:22" ht="15" customHeight="1" thickBot="1" x14ac:dyDescent="0.3">
      <c r="A72" s="420"/>
      <c r="B72" s="421"/>
      <c r="C72" s="421"/>
      <c r="D72" s="421"/>
      <c r="E72" s="421"/>
      <c r="F72" s="422"/>
      <c r="G72" s="422"/>
      <c r="H72" s="423"/>
      <c r="I72" s="158" t="s">
        <v>15</v>
      </c>
      <c r="J72" s="267">
        <f>IF(I$60="Error","Error",SUM(J62:J71))</f>
        <v>5200000</v>
      </c>
      <c r="K72" s="252">
        <f>IF(I$60="Error","Error",SUM(K62:K71))</f>
        <v>336</v>
      </c>
      <c r="L72" s="417"/>
      <c r="M72" s="418"/>
      <c r="N72" s="419"/>
      <c r="O72" s="183">
        <f>VLOOKUP($A$1,AVAILABLE_Buildings_Army[#All],MATCH(L71,AVAILABLE_Buildings_Army[#Headers],0))</f>
        <v>1</v>
      </c>
      <c r="P72" s="184">
        <f>VLOOKUP($A$1,AVAILABLE_Buildings_Army[#All],MATCH(L71,AVAILABLE_Buildings_Army[#Headers],0)+1)</f>
        <v>3</v>
      </c>
      <c r="Q72" s="185"/>
      <c r="R72" s="186"/>
      <c r="S72" s="187"/>
      <c r="T72" s="183">
        <f>IF(SUM(M74:M78)&gt;O72,"Error",SUM(M74:M78))</f>
        <v>1</v>
      </c>
      <c r="U72" s="188">
        <f>IF(T$72="Error","Error",O72-T72)</f>
        <v>0</v>
      </c>
      <c r="V72" s="189">
        <f>IF(T$72="Error","Error",SUM(Q74:Q78))</f>
        <v>0</v>
      </c>
    </row>
    <row r="73" spans="1:22" ht="15" customHeight="1" thickBot="1" x14ac:dyDescent="0.3">
      <c r="A73" s="414" t="s">
        <v>111</v>
      </c>
      <c r="B73" s="415"/>
      <c r="C73" s="416"/>
      <c r="D73" s="164" t="s">
        <v>16</v>
      </c>
      <c r="E73" s="165" t="s">
        <v>17</v>
      </c>
      <c r="F73" s="166"/>
      <c r="G73" s="167"/>
      <c r="H73" s="168"/>
      <c r="I73" s="164" t="s">
        <v>91</v>
      </c>
      <c r="J73" s="169" t="s">
        <v>90</v>
      </c>
      <c r="K73" s="165" t="s">
        <v>92</v>
      </c>
      <c r="L73" s="200" t="s">
        <v>14</v>
      </c>
      <c r="M73" s="262" t="s">
        <v>13</v>
      </c>
      <c r="N73" s="202"/>
      <c r="O73" s="202"/>
      <c r="P73" s="203"/>
      <c r="Q73" s="208" t="s">
        <v>13</v>
      </c>
      <c r="R73" s="209" t="s">
        <v>14</v>
      </c>
      <c r="S73" s="206" t="s">
        <v>133</v>
      </c>
      <c r="T73" s="206" t="s">
        <v>134</v>
      </c>
      <c r="U73" s="206" t="s">
        <v>74</v>
      </c>
      <c r="V73" s="207" t="s">
        <v>75</v>
      </c>
    </row>
    <row r="74" spans="1:22" ht="15" customHeight="1" thickBot="1" x14ac:dyDescent="0.3">
      <c r="A74" s="417"/>
      <c r="B74" s="418"/>
      <c r="C74" s="419"/>
      <c r="D74" s="183">
        <f>VLOOKUP($A$1,AVAILABLE_Buildings_Army[#All],MATCH(A73,AVAILABLE_Buildings_Army[#Headers],0))</f>
        <v>1</v>
      </c>
      <c r="E74" s="184">
        <f>VLOOKUP($A$1,AVAILABLE_Buildings_Army[#All],MATCH(A73,AVAILABLE_Buildings_Army[#Headers],0)+1)</f>
        <v>2</v>
      </c>
      <c r="F74" s="185"/>
      <c r="G74" s="186"/>
      <c r="H74" s="187"/>
      <c r="I74" s="183">
        <f>IF(SUM(B76:B79)&gt;D74,"Error",SUM(B76:B79))</f>
        <v>0</v>
      </c>
      <c r="J74" s="188">
        <f>IF(I$74="Error","Error",D74-I74)</f>
        <v>1</v>
      </c>
      <c r="K74" s="189">
        <f>IF(I$74="Error","Error",SUM(F76:F79))</f>
        <v>2</v>
      </c>
      <c r="L74" s="263">
        <v>1</v>
      </c>
      <c r="M74" s="264" t="str">
        <f>IF(Paramètres!L5=0,"",Paramètres!L5)</f>
        <v/>
      </c>
      <c r="N74" s="265">
        <f>IF(N73&lt;&gt;0,N73+IF(AND(M73&lt;&gt;"",L73&lt;E$6),M73,0),IF(AND(M73&lt;&gt;"",L73&lt;E$6),M73,0))</f>
        <v>0</v>
      </c>
      <c r="O74" s="217"/>
      <c r="P74" s="218"/>
      <c r="Q74" s="223">
        <f>IF(R74&lt;&gt;"/",IF(T$72="Error","Error",$U$72+N74),"/")</f>
        <v>0</v>
      </c>
      <c r="R74" s="224">
        <f>IF(T$72="Error","Error",IF(AND($P$72&lt;&gt;"/",$P$72&gt;Paramètres!$AX2),Paramètres!$AX3,"/"))</f>
        <v>1</v>
      </c>
      <c r="S74" s="178">
        <f>IF(R74&lt;&gt;"/",VLOOKUP(R74,COSTS_Spell_Factory[#All],2),"/")</f>
        <v>200000</v>
      </c>
      <c r="T74" s="179">
        <f>IF(R74&lt;&gt;"/",VLOOKUP(R74,COSTS_Spell_Factory[#All],3),"/")</f>
        <v>24</v>
      </c>
      <c r="U74" s="178">
        <f>IF(T$72="Error","Error",IF(S74&lt;&gt;"/",Q74*S74,0))</f>
        <v>0</v>
      </c>
      <c r="V74" s="225">
        <f>IF(T$72="Error","Error",IF(T74&lt;&gt;"/",Q74*T74,0))</f>
        <v>0</v>
      </c>
    </row>
    <row r="75" spans="1:22" ht="15" customHeight="1" thickBot="1" x14ac:dyDescent="0.3">
      <c r="A75" s="200" t="s">
        <v>14</v>
      </c>
      <c r="B75" s="262" t="s">
        <v>13</v>
      </c>
      <c r="C75" s="202"/>
      <c r="D75" s="202"/>
      <c r="E75" s="203"/>
      <c r="F75" s="208" t="s">
        <v>13</v>
      </c>
      <c r="G75" s="209" t="s">
        <v>14</v>
      </c>
      <c r="H75" s="206" t="s">
        <v>133</v>
      </c>
      <c r="I75" s="206" t="s">
        <v>134</v>
      </c>
      <c r="J75" s="206" t="s">
        <v>74</v>
      </c>
      <c r="K75" s="207" t="s">
        <v>75</v>
      </c>
      <c r="L75" s="266">
        <v>2</v>
      </c>
      <c r="M75" s="264" t="str">
        <f>IF(Paramètres!L6=0,"",Paramètres!L6)</f>
        <v/>
      </c>
      <c r="N75" s="265">
        <f>IF(N74&lt;&gt;0,N74+IF(AND(M74&lt;&gt;"",L74&lt;E$6),M74,0),IF(AND(M74&lt;&gt;"",L74&lt;E$6),M74,0))</f>
        <v>0</v>
      </c>
      <c r="O75" s="227"/>
      <c r="P75" s="228"/>
      <c r="Q75" s="219">
        <f>IF(R75&lt;&gt;"/",IF(T$72="Error","Error",$U$72+N75),"/")</f>
        <v>0</v>
      </c>
      <c r="R75" s="220">
        <f>IF(T$72="Error","Error",IF(AND($P$72&lt;&gt;"/",$P$72&gt;Paramètres!$AX3),Paramètres!$AX4,"/"))</f>
        <v>2</v>
      </c>
      <c r="S75" s="195">
        <f>IF(R75&lt;&gt;"/",VLOOKUP(R75,COSTS_Spell_Factory[#All],2),"/")</f>
        <v>400000</v>
      </c>
      <c r="T75" s="194">
        <f>IF(R75&lt;&gt;"/",VLOOKUP(R75,COSTS_Spell_Factory[#All],3),"/")</f>
        <v>48</v>
      </c>
      <c r="U75" s="195">
        <f>IF(T$72="Error","Error",IF(S75&lt;&gt;"/",Q75*S75,0))</f>
        <v>0</v>
      </c>
      <c r="V75" s="221">
        <f>IF(T$72="Error","Error",IF(T75&lt;&gt;"/",Q75*T75,0))</f>
        <v>0</v>
      </c>
    </row>
    <row r="76" spans="1:22" ht="15" customHeight="1" x14ac:dyDescent="0.25">
      <c r="A76" s="263">
        <v>1</v>
      </c>
      <c r="B76" s="264" t="str">
        <f>IF(Paramètres!I5=0,"",Paramètres!I5)</f>
        <v/>
      </c>
      <c r="C76" s="265">
        <f>IF(C75&lt;&gt;0,C75+IF(AND(B75&lt;&gt;"",A75&lt;E$6),B75,0),IF(AND(B75&lt;&gt;"",A75&lt;E$6),B75,0))</f>
        <v>0</v>
      </c>
      <c r="D76" s="217"/>
      <c r="E76" s="218"/>
      <c r="F76" s="223">
        <f>IF(G76&lt;&gt;"/",IF(I$74="Error","Error",$J$74+C76),"/")</f>
        <v>1</v>
      </c>
      <c r="G76" s="224">
        <f>IF(I$74="Error","Error",IF(AND($E$74&lt;&gt;"/",$E$74&gt;Paramètres!$AX2),Paramètres!$AX3,"/"))</f>
        <v>1</v>
      </c>
      <c r="H76" s="178">
        <f>IF(G76&lt;&gt;"/",VLOOKUP(G76,COSTS_Dark_Barrack[#All],2),"/")</f>
        <v>750000</v>
      </c>
      <c r="I76" s="179">
        <f>IF(G76&lt;&gt;"/",VLOOKUP(G76,COSTS_Dark_Barrack[#All],3),"/")</f>
        <v>72</v>
      </c>
      <c r="J76" s="178">
        <f>IF(I$74="Error","Error",IF(H76&lt;&gt;"/",F76*H76,0))</f>
        <v>750000</v>
      </c>
      <c r="K76" s="225">
        <f>IF(I$74="Error","Error",IF(I76&lt;&gt;"/",F76*I76,0))</f>
        <v>72</v>
      </c>
      <c r="L76" s="266">
        <v>3</v>
      </c>
      <c r="M76" s="264">
        <f>IF(Paramètres!L7=0,"",Paramètres!L7)</f>
        <v>1</v>
      </c>
      <c r="N76" s="265">
        <f>IF(N75&lt;&gt;0,N75+IF(AND(M75&lt;&gt;"",L75&lt;E$6),M75,0),IF(AND(M75&lt;&gt;"",L75&lt;E$6),M75,0))</f>
        <v>0</v>
      </c>
      <c r="O76" s="227"/>
      <c r="P76" s="228"/>
      <c r="Q76" s="219">
        <f>IF(R76&lt;&gt;"/",IF(T$72="Error","Error",$U$72+N76),"/")</f>
        <v>0</v>
      </c>
      <c r="R76" s="220">
        <f>IF(T$72="Error","Error",IF(AND($P$72&lt;&gt;"/",$P$72&gt;Paramètres!$AX4),Paramètres!$AX5,"/"))</f>
        <v>3</v>
      </c>
      <c r="S76" s="195">
        <f>IF(R76&lt;&gt;"/",VLOOKUP(R76,COSTS_Spell_Factory[#All],2),"/")</f>
        <v>800000</v>
      </c>
      <c r="T76" s="194">
        <f>IF(R76&lt;&gt;"/",VLOOKUP(R76,COSTS_Spell_Factory[#All],3),"/")</f>
        <v>96</v>
      </c>
      <c r="U76" s="195">
        <f>IF(T$72="Error","Error",IF(S76&lt;&gt;"/",Q76*S76,0))</f>
        <v>0</v>
      </c>
      <c r="V76" s="221">
        <f>IF(T$72="Error","Error",IF(T76&lt;&gt;"/",Q76*T76,0))</f>
        <v>0</v>
      </c>
    </row>
    <row r="77" spans="1:22" ht="15" customHeight="1" x14ac:dyDescent="0.25">
      <c r="A77" s="266">
        <v>2</v>
      </c>
      <c r="B77" s="264" t="str">
        <f>IF(Paramètres!I6=0,"",Paramètres!I6)</f>
        <v/>
      </c>
      <c r="C77" s="265">
        <f>IF(C76&lt;&gt;0,C76+IF(AND(B76&lt;&gt;"",A76&lt;E$6),B76,0),IF(AND(B76&lt;&gt;"",A76&lt;E$6),B76,0))</f>
        <v>0</v>
      </c>
      <c r="D77" s="227"/>
      <c r="E77" s="228"/>
      <c r="F77" s="219">
        <f>IF(G77&lt;&gt;"/",IF(I$74="Error","Error",$J$74+C77),"/")</f>
        <v>1</v>
      </c>
      <c r="G77" s="220">
        <f>IF(I$74="Error","Error",IF(AND($E$74&lt;&gt;"/",$E$74&gt;Paramètres!$AX3),Paramètres!$AX4,"/"))</f>
        <v>2</v>
      </c>
      <c r="H77" s="195">
        <f>IF(G77&lt;&gt;"/",VLOOKUP(G77,COSTS_Dark_Barrack[#All],2),"/")</f>
        <v>1500000</v>
      </c>
      <c r="I77" s="194">
        <f>IF(G77&lt;&gt;"/",VLOOKUP(G77,COSTS_Dark_Barrack[#All],3),"/")</f>
        <v>120</v>
      </c>
      <c r="J77" s="195">
        <f>IF(I$74="Error","Error",IF(H77&lt;&gt;"/",F77*H77,0))</f>
        <v>1500000</v>
      </c>
      <c r="K77" s="221">
        <f>IF(I$74="Error","Error",IF(I77&lt;&gt;"/",F77*I77,0))</f>
        <v>120</v>
      </c>
      <c r="L77" s="266">
        <v>4</v>
      </c>
      <c r="M77" s="264" t="str">
        <f>IF(Paramètres!L8=0,"",Paramètres!L8)</f>
        <v/>
      </c>
      <c r="N77" s="265">
        <f>IF(N76&lt;&gt;0,N76+IF(AND(M76&lt;&gt;"",L76&lt;E$6),M76,0),IF(AND(M76&lt;&gt;"",L76&lt;E$6),M76,0))</f>
        <v>1</v>
      </c>
      <c r="O77" s="227"/>
      <c r="P77" s="228"/>
      <c r="Q77" s="219" t="str">
        <f>IF(R77&lt;&gt;"/",IF(T$72="Error","Error",$U$72+N77),"/")</f>
        <v>/</v>
      </c>
      <c r="R77" s="220" t="str">
        <f>IF(T$72="Error","Error",IF(AND($P$72&lt;&gt;"/",$P$72&gt;Paramètres!$AX5),Paramètres!$AX6,"/"))</f>
        <v>/</v>
      </c>
      <c r="S77" s="195" t="str">
        <f>IF(R77&lt;&gt;"/",VLOOKUP(R77,COSTS_Spell_Factory[#All],2),"/")</f>
        <v>/</v>
      </c>
      <c r="T77" s="194" t="str">
        <f>IF(R77&lt;&gt;"/",VLOOKUP(R77,COSTS_Spell_Factory[#All],3),"/")</f>
        <v>/</v>
      </c>
      <c r="U77" s="195">
        <f>IF(T$72="Error","Error",IF(S77&lt;&gt;"/",Q77*S77,0))</f>
        <v>0</v>
      </c>
      <c r="V77" s="221">
        <f>IF(T$72="Error","Error",IF(T77&lt;&gt;"/",Q77*T77,0))</f>
        <v>0</v>
      </c>
    </row>
    <row r="78" spans="1:22" ht="15" customHeight="1" thickBot="1" x14ac:dyDescent="0.3">
      <c r="A78" s="266">
        <v>3</v>
      </c>
      <c r="B78" s="264" t="str">
        <f>IF(Paramètres!I7=0,"",Paramètres!I7)</f>
        <v/>
      </c>
      <c r="C78" s="265">
        <f>IF(C77&lt;&gt;0,C77+IF(AND(B77&lt;&gt;"",A77&lt;E$6),B77,0),IF(AND(B77&lt;&gt;"",A77&lt;E$6),B77,0))</f>
        <v>0</v>
      </c>
      <c r="D78" s="227"/>
      <c r="E78" s="228"/>
      <c r="F78" s="219" t="str">
        <f>IF(G78&lt;&gt;"/",IF(I$74="Error","Error",$J$74+C78),"/")</f>
        <v>/</v>
      </c>
      <c r="G78" s="220" t="str">
        <f>IF(I$74="Error","Error",IF(AND($E$74&lt;&gt;"/",$E$74&gt;Paramètres!$AX4),Paramètres!$AX5,"/"))</f>
        <v>/</v>
      </c>
      <c r="H78" s="195" t="str">
        <f>IF(G78&lt;&gt;"/",VLOOKUP(G78,COSTS_Dark_Barrack[#All],2),"/")</f>
        <v>/</v>
      </c>
      <c r="I78" s="194" t="str">
        <f>IF(G78&lt;&gt;"/",VLOOKUP(G78,COSTS_Dark_Barrack[#All],3),"/")</f>
        <v>/</v>
      </c>
      <c r="J78" s="195">
        <f>IF(I$74="Error","Error",IF(H78&lt;&gt;"/",F78*H78,0))</f>
        <v>0</v>
      </c>
      <c r="K78" s="221">
        <f>IF(I$74="Error","Error",IF(I78&lt;&gt;"/",F78*I78,0))</f>
        <v>0</v>
      </c>
      <c r="L78" s="266">
        <v>5</v>
      </c>
      <c r="M78" s="264" t="str">
        <f>IF(Paramètres!L9=0,"",Paramètres!L9)</f>
        <v/>
      </c>
      <c r="N78" s="265">
        <f>IF(N77&lt;&gt;0,N77+IF(AND(M77&lt;&gt;"",L77&lt;E$6),M77,0),IF(AND(M77&lt;&gt;"",L77&lt;E$6),M77,0))</f>
        <v>1</v>
      </c>
      <c r="O78" s="227"/>
      <c r="P78" s="228"/>
      <c r="Q78" s="243" t="str">
        <f>IF(R78&lt;&gt;"/",IF(T$72="Error","Error",$U$72+N78),"/")</f>
        <v>/</v>
      </c>
      <c r="R78" s="241" t="str">
        <f>IF(T$72="Error","Error",IF(AND($P$72&lt;&gt;"/",$P$72&gt;Paramètres!$AX6),Paramètres!$AX7,"/"))</f>
        <v>/</v>
      </c>
      <c r="S78" s="232" t="str">
        <f>IF(R78&lt;&gt;"/",VLOOKUP(R78,COSTS_Spell_Factory[#All],2),"/")</f>
        <v>/</v>
      </c>
      <c r="T78" s="233" t="str">
        <f>IF(R78&lt;&gt;"/",VLOOKUP(R78,COSTS_Spell_Factory[#All],3),"/")</f>
        <v>/</v>
      </c>
      <c r="U78" s="232">
        <f>IF(T$72="Error","Error",IF(S78&lt;&gt;"/",Q78*S78,0))</f>
        <v>0</v>
      </c>
      <c r="V78" s="242">
        <f>IF(T$72="Error","Error",IF(T78&lt;&gt;"/",Q78*T78,0))</f>
        <v>0</v>
      </c>
    </row>
    <row r="79" spans="1:22" ht="15" customHeight="1" thickBot="1" x14ac:dyDescent="0.3">
      <c r="A79" s="266">
        <v>4</v>
      </c>
      <c r="B79" s="264" t="str">
        <f>IF(Paramètres!I8=0,"",Paramètres!I8)</f>
        <v/>
      </c>
      <c r="C79" s="265">
        <f>IF(C78&lt;&gt;0,C78+IF(AND(B78&lt;&gt;"",A78&lt;E$6),B78,0),IF(AND(B78&lt;&gt;"",A78&lt;E$6),B78,0))</f>
        <v>0</v>
      </c>
      <c r="D79" s="227"/>
      <c r="E79" s="228"/>
      <c r="F79" s="243" t="str">
        <f>IF(G79&lt;&gt;"/",IF(I$74="Error","Error",$J$74+C79),"/")</f>
        <v>/</v>
      </c>
      <c r="G79" s="241" t="str">
        <f>IF(I$74="Error","Error",IF(AND($E$74&lt;&gt;"/",$E$74&gt;Paramètres!$AX5),Paramètres!$AX6,"/"))</f>
        <v>/</v>
      </c>
      <c r="H79" s="232" t="str">
        <f>IF(G79&lt;&gt;"/",VLOOKUP(G79,COSTS_Dark_Barrack[#All],2),"/")</f>
        <v>/</v>
      </c>
      <c r="I79" s="233" t="str">
        <f>IF(G79&lt;&gt;"/",VLOOKUP(G79,COSTS_Dark_Barrack[#All],3),"/")</f>
        <v>/</v>
      </c>
      <c r="J79" s="232">
        <f>IF(I$74="Error","Error",IF(H79&lt;&gt;"/",F79*H79,0))</f>
        <v>0</v>
      </c>
      <c r="K79" s="242">
        <f>IF(I$74="Error","Error",IF(I79&lt;&gt;"/",F79*I79,0))</f>
        <v>0</v>
      </c>
      <c r="L79" s="420"/>
      <c r="M79" s="421"/>
      <c r="N79" s="421"/>
      <c r="O79" s="421"/>
      <c r="P79" s="421"/>
      <c r="Q79" s="422"/>
      <c r="R79" s="422"/>
      <c r="S79" s="423"/>
      <c r="T79" s="158" t="s">
        <v>15</v>
      </c>
      <c r="U79" s="267">
        <f>IF(T$72="Error","Error",SUM(U74:U78))</f>
        <v>0</v>
      </c>
      <c r="V79" s="252">
        <f>IF(T$72="Error","Error",SUM(V74:V78))</f>
        <v>0</v>
      </c>
    </row>
    <row r="80" spans="1:22" ht="15" customHeight="1" thickBot="1" x14ac:dyDescent="0.3">
      <c r="A80" s="420"/>
      <c r="B80" s="421"/>
      <c r="C80" s="421"/>
      <c r="D80" s="421"/>
      <c r="E80" s="421"/>
      <c r="F80" s="422"/>
      <c r="G80" s="422"/>
      <c r="H80" s="423"/>
      <c r="I80" s="158" t="s">
        <v>15</v>
      </c>
      <c r="J80" s="267">
        <f>IF(I$74="Error","Error",SUM(J76:J79))</f>
        <v>2250000</v>
      </c>
      <c r="K80" s="252">
        <f>IF(I$74="Error","Error",SUM(K76:K79))</f>
        <v>192</v>
      </c>
    </row>
    <row r="81" spans="1:22" ht="15" customHeight="1" x14ac:dyDescent="0.25">
      <c r="A81" s="414" t="s">
        <v>113</v>
      </c>
      <c r="B81" s="415"/>
      <c r="C81" s="416"/>
      <c r="D81" s="164" t="s">
        <v>16</v>
      </c>
      <c r="E81" s="165" t="s">
        <v>17</v>
      </c>
      <c r="F81" s="166"/>
      <c r="G81" s="167"/>
      <c r="H81" s="168"/>
      <c r="I81" s="164" t="s">
        <v>91</v>
      </c>
      <c r="J81" s="169" t="s">
        <v>90</v>
      </c>
      <c r="K81" s="165" t="s">
        <v>92</v>
      </c>
    </row>
    <row r="82" spans="1:22" ht="15" customHeight="1" thickBot="1" x14ac:dyDescent="0.3">
      <c r="A82" s="417"/>
      <c r="B82" s="418"/>
      <c r="C82" s="419"/>
      <c r="D82" s="183">
        <f>VLOOKUP($A$1,AVAILABLE_Buildings_Army[#All],MATCH(A81,AVAILABLE_Buildings_Army[#Headers],0))</f>
        <v>4</v>
      </c>
      <c r="E82" s="184">
        <f>VLOOKUP($A$1,AVAILABLE_Buildings_Army[#All],MATCH(A81,AVAILABLE_Buildings_Army[#Headers],0)+1)</f>
        <v>6</v>
      </c>
      <c r="F82" s="185"/>
      <c r="G82" s="186"/>
      <c r="H82" s="187"/>
      <c r="I82" s="183">
        <f>IF(SUM(B84:B91)&gt;D82,"Error",SUM(B84:B91))</f>
        <v>4</v>
      </c>
      <c r="J82" s="188">
        <f>IF(I$82="Error","Error",D82-I82)</f>
        <v>0</v>
      </c>
      <c r="K82" s="189">
        <f>IF(I$82="Error","Error",SUM(F84:F91))</f>
        <v>0</v>
      </c>
    </row>
    <row r="83" spans="1:22" ht="15" customHeight="1" thickBot="1" x14ac:dyDescent="0.3">
      <c r="A83" s="200" t="s">
        <v>14</v>
      </c>
      <c r="B83" s="262" t="s">
        <v>13</v>
      </c>
      <c r="C83" s="202"/>
      <c r="D83" s="202"/>
      <c r="E83" s="203"/>
      <c r="F83" s="208" t="s">
        <v>13</v>
      </c>
      <c r="G83" s="209" t="s">
        <v>14</v>
      </c>
      <c r="H83" s="206" t="s">
        <v>133</v>
      </c>
      <c r="I83" s="206" t="s">
        <v>134</v>
      </c>
      <c r="J83" s="206" t="s">
        <v>74</v>
      </c>
      <c r="K83" s="207" t="s">
        <v>75</v>
      </c>
    </row>
    <row r="84" spans="1:22" ht="15" customHeight="1" x14ac:dyDescent="0.25">
      <c r="A84" s="263">
        <v>1</v>
      </c>
      <c r="B84" s="264" t="str">
        <f>IF(Paramètres!J5=0,"",Paramètres!J5)</f>
        <v/>
      </c>
      <c r="C84" s="265">
        <f t="shared" ref="C84:C91" si="33">IF(C83&lt;&gt;0,C83+IF(AND(B83&lt;&gt;"",A83&lt;E$6),B83,0),IF(AND(B83&lt;&gt;"",A83&lt;E$6),B83,0))</f>
        <v>0</v>
      </c>
      <c r="D84" s="217"/>
      <c r="E84" s="218"/>
      <c r="F84" s="223">
        <f t="shared" ref="F84:F91" si="34">IF(G84&lt;&gt;"/",IF(I$82="Error","Error",$J$82+C84),"/")</f>
        <v>0</v>
      </c>
      <c r="G84" s="224">
        <f>IF(I$82="Error","Error",IF(AND($E$82&lt;&gt;"/",$E$82&gt;Paramètres!$AX2),Paramètres!$AX3,"/"))</f>
        <v>1</v>
      </c>
      <c r="H84" s="178">
        <f>IF(G84&lt;&gt;"/",VLOOKUP(G84,COSTS_Army_Camp[#All],2),"/")</f>
        <v>250</v>
      </c>
      <c r="I84" s="179">
        <f>IF(G84&lt;&gt;"/",VLOOKUP(G84,COSTS_Army_Camp[#All],3),"/")</f>
        <v>8.3333333333333329E-2</v>
      </c>
      <c r="J84" s="178">
        <f t="shared" ref="J84:J91" si="35">IF(I$82="Error","Error",IF(H84&lt;&gt;"/",F84*H84,0))</f>
        <v>0</v>
      </c>
      <c r="K84" s="225">
        <f t="shared" ref="K84:K91" si="36">IF(I$82="Error","Error",IF(I84&lt;&gt;"/",F84*I84,0))</f>
        <v>0</v>
      </c>
    </row>
    <row r="85" spans="1:22" ht="15" customHeight="1" x14ac:dyDescent="0.25">
      <c r="A85" s="266">
        <v>2</v>
      </c>
      <c r="B85" s="264" t="str">
        <f>IF(Paramètres!J6=0,"",Paramètres!J6)</f>
        <v/>
      </c>
      <c r="C85" s="265">
        <f t="shared" si="33"/>
        <v>0</v>
      </c>
      <c r="D85" s="227"/>
      <c r="E85" s="228"/>
      <c r="F85" s="219">
        <f t="shared" si="34"/>
        <v>0</v>
      </c>
      <c r="G85" s="220">
        <f>IF(I$82="Error","Error",IF(AND($E$82&lt;&gt;"/",$E$82&gt;Paramètres!$AX3),Paramètres!$AX4,"/"))</f>
        <v>2</v>
      </c>
      <c r="H85" s="195">
        <f>IF(G85&lt;&gt;"/",VLOOKUP(G85,COSTS_Army_Camp[#All],2),"/")</f>
        <v>2500</v>
      </c>
      <c r="I85" s="194">
        <f>IF(G85&lt;&gt;"/",VLOOKUP(G85,COSTS_Army_Camp[#All],3),"/")</f>
        <v>1</v>
      </c>
      <c r="J85" s="195">
        <f t="shared" si="35"/>
        <v>0</v>
      </c>
      <c r="K85" s="221">
        <f t="shared" si="36"/>
        <v>0</v>
      </c>
    </row>
    <row r="86" spans="1:22" ht="15" customHeight="1" x14ac:dyDescent="0.25">
      <c r="A86" s="266">
        <v>3</v>
      </c>
      <c r="B86" s="264" t="str">
        <f>IF(Paramètres!J7=0,"",Paramètres!J7)</f>
        <v/>
      </c>
      <c r="C86" s="265">
        <f t="shared" si="33"/>
        <v>0</v>
      </c>
      <c r="D86" s="227"/>
      <c r="E86" s="228"/>
      <c r="F86" s="219">
        <f t="shared" si="34"/>
        <v>0</v>
      </c>
      <c r="G86" s="220">
        <f>IF(I$82="Error","Error",IF(AND($E$82&lt;&gt;"/",$E$82&gt;Paramètres!$AX4),Paramètres!$AX5,"/"))</f>
        <v>3</v>
      </c>
      <c r="H86" s="195">
        <f>IF(G86&lt;&gt;"/",VLOOKUP(G86,COSTS_Army_Camp[#All],2),"/")</f>
        <v>10000</v>
      </c>
      <c r="I86" s="194">
        <f>IF(G86&lt;&gt;"/",VLOOKUP(G86,COSTS_Army_Camp[#All],3),"/")</f>
        <v>3</v>
      </c>
      <c r="J86" s="195">
        <f t="shared" si="35"/>
        <v>0</v>
      </c>
      <c r="K86" s="221">
        <f t="shared" si="36"/>
        <v>0</v>
      </c>
    </row>
    <row r="87" spans="1:22" ht="15" customHeight="1" x14ac:dyDescent="0.25">
      <c r="A87" s="266">
        <v>4</v>
      </c>
      <c r="B87" s="264" t="str">
        <f>IF(Paramètres!J8=0,"",Paramètres!J8)</f>
        <v/>
      </c>
      <c r="C87" s="265">
        <f t="shared" si="33"/>
        <v>0</v>
      </c>
      <c r="D87" s="227"/>
      <c r="E87" s="228"/>
      <c r="F87" s="219">
        <f t="shared" si="34"/>
        <v>0</v>
      </c>
      <c r="G87" s="220">
        <f>IF(I$82="Error","Error",IF(AND($E$82&lt;&gt;"/",$E$82&gt;Paramètres!$AX5),Paramètres!$AX6,"/"))</f>
        <v>4</v>
      </c>
      <c r="H87" s="195">
        <f>IF(G87&lt;&gt;"/",VLOOKUP(G87,COSTS_Army_Camp[#All],2),"/")</f>
        <v>100000</v>
      </c>
      <c r="I87" s="194">
        <f>IF(G87&lt;&gt;"/",VLOOKUP(G87,COSTS_Army_Camp[#All],3),"/")</f>
        <v>8</v>
      </c>
      <c r="J87" s="195">
        <f t="shared" si="35"/>
        <v>0</v>
      </c>
      <c r="K87" s="221">
        <f t="shared" si="36"/>
        <v>0</v>
      </c>
    </row>
    <row r="88" spans="1:22" ht="15" customHeight="1" x14ac:dyDescent="0.25">
      <c r="A88" s="266">
        <v>5</v>
      </c>
      <c r="B88" s="264" t="str">
        <f>IF(Paramètres!J9=0,"",Paramètres!J9)</f>
        <v/>
      </c>
      <c r="C88" s="265">
        <f t="shared" si="33"/>
        <v>0</v>
      </c>
      <c r="D88" s="227"/>
      <c r="E88" s="228"/>
      <c r="F88" s="219">
        <f t="shared" si="34"/>
        <v>0</v>
      </c>
      <c r="G88" s="220">
        <f>IF(I$82="Error","Error",IF(AND($E$82&lt;&gt;"/",$E$82&gt;Paramètres!$AX6),Paramètres!$AX7,"/"))</f>
        <v>5</v>
      </c>
      <c r="H88" s="195">
        <f>IF(G88&lt;&gt;"/",VLOOKUP(G88,COSTS_Army_Camp[#All],2),"/")</f>
        <v>250000</v>
      </c>
      <c r="I88" s="194">
        <f>IF(G88&lt;&gt;"/",VLOOKUP(G88,COSTS_Army_Camp[#All],3),"/")</f>
        <v>24</v>
      </c>
      <c r="J88" s="195">
        <f t="shared" si="35"/>
        <v>0</v>
      </c>
      <c r="K88" s="221">
        <f t="shared" si="36"/>
        <v>0</v>
      </c>
    </row>
    <row r="89" spans="1:22" ht="15" customHeight="1" x14ac:dyDescent="0.25">
      <c r="A89" s="266">
        <v>6</v>
      </c>
      <c r="B89" s="264">
        <f>IF(Paramètres!J10=0,"",Paramètres!J10)</f>
        <v>4</v>
      </c>
      <c r="C89" s="265">
        <f t="shared" si="33"/>
        <v>0</v>
      </c>
      <c r="D89" s="227"/>
      <c r="E89" s="228"/>
      <c r="F89" s="219">
        <f t="shared" si="34"/>
        <v>0</v>
      </c>
      <c r="G89" s="220">
        <f>IF(I$82="Error","Error",IF(AND($E$82&lt;&gt;"/",$E$82&gt;Paramètres!$AX7),Paramètres!$AX8,"/"))</f>
        <v>6</v>
      </c>
      <c r="H89" s="195">
        <f>IF(G89&lt;&gt;"/",VLOOKUP(G89,COSTS_Army_Camp[#All],2),"/")</f>
        <v>750000</v>
      </c>
      <c r="I89" s="194">
        <f>IF(G89&lt;&gt;"/",VLOOKUP(G89,COSTS_Army_Camp[#All],3),"/")</f>
        <v>76</v>
      </c>
      <c r="J89" s="195">
        <f t="shared" si="35"/>
        <v>0</v>
      </c>
      <c r="K89" s="221">
        <f t="shared" si="36"/>
        <v>0</v>
      </c>
    </row>
    <row r="90" spans="1:22" ht="15" customHeight="1" x14ac:dyDescent="0.25">
      <c r="A90" s="266">
        <v>7</v>
      </c>
      <c r="B90" s="264" t="str">
        <f>IF(Paramètres!J11=0,"",Paramètres!J11)</f>
        <v/>
      </c>
      <c r="C90" s="265">
        <f t="shared" si="33"/>
        <v>4</v>
      </c>
      <c r="D90" s="227"/>
      <c r="E90" s="228"/>
      <c r="F90" s="219" t="str">
        <f t="shared" si="34"/>
        <v>/</v>
      </c>
      <c r="G90" s="220" t="str">
        <f>IF(I$82="Error","Error",IF(AND($E$82&lt;&gt;"/",$E$82&gt;Paramètres!$AX8),Paramètres!$AX9,"/"))</f>
        <v>/</v>
      </c>
      <c r="H90" s="195" t="str">
        <f>IF(G90&lt;&gt;"/",VLOOKUP(G90,COSTS_Army_Camp[#All],2),"/")</f>
        <v>/</v>
      </c>
      <c r="I90" s="194" t="str">
        <f>IF(G90&lt;&gt;"/",VLOOKUP(G90,COSTS_Army_Camp[#All],3),"/")</f>
        <v>/</v>
      </c>
      <c r="J90" s="195">
        <f t="shared" si="35"/>
        <v>0</v>
      </c>
      <c r="K90" s="221">
        <f t="shared" si="36"/>
        <v>0</v>
      </c>
    </row>
    <row r="91" spans="1:22" ht="15" customHeight="1" thickBot="1" x14ac:dyDescent="0.3">
      <c r="A91" s="266">
        <v>8</v>
      </c>
      <c r="B91" s="264" t="str">
        <f>IF(Paramètres!J12=0,"",Paramètres!J12)</f>
        <v/>
      </c>
      <c r="C91" s="265">
        <f t="shared" si="33"/>
        <v>4</v>
      </c>
      <c r="D91" s="227"/>
      <c r="E91" s="228"/>
      <c r="F91" s="243" t="str">
        <f t="shared" si="34"/>
        <v>/</v>
      </c>
      <c r="G91" s="241" t="str">
        <f>IF(I$82="Error","Error",IF(AND($E$82&lt;&gt;"/",$E$82&gt;Paramètres!$AX9),Paramètres!$AX10,"/"))</f>
        <v>/</v>
      </c>
      <c r="H91" s="232" t="str">
        <f>IF(G91&lt;&gt;"/",VLOOKUP(G91,COSTS_Army_Camp[#All],2),"/")</f>
        <v>/</v>
      </c>
      <c r="I91" s="233" t="str">
        <f>IF(G91&lt;&gt;"/",VLOOKUP(G91,COSTS_Army_Camp[#All],3),"/")</f>
        <v>/</v>
      </c>
      <c r="J91" s="232">
        <f t="shared" si="35"/>
        <v>0</v>
      </c>
      <c r="K91" s="242">
        <f t="shared" si="36"/>
        <v>0</v>
      </c>
    </row>
    <row r="92" spans="1:22" ht="15" customHeight="1" thickBot="1" x14ac:dyDescent="0.3">
      <c r="A92" s="420"/>
      <c r="B92" s="421"/>
      <c r="C92" s="421"/>
      <c r="D92" s="421"/>
      <c r="E92" s="421"/>
      <c r="F92" s="422"/>
      <c r="G92" s="422"/>
      <c r="H92" s="423"/>
      <c r="I92" s="158" t="s">
        <v>15</v>
      </c>
      <c r="J92" s="267">
        <f>IF(I$82="Error","Error",SUM(J84:J91))</f>
        <v>0</v>
      </c>
      <c r="K92" s="252">
        <f>IF(I$82="Error","Error",SUM(K84:K91))</f>
        <v>0</v>
      </c>
    </row>
    <row r="94" spans="1:22" ht="15" customHeight="1" thickBot="1" x14ac:dyDescent="0.3"/>
    <row r="95" spans="1:22" ht="30" customHeight="1" thickBot="1" x14ac:dyDescent="0.3">
      <c r="A95" s="410" t="s">
        <v>58</v>
      </c>
      <c r="B95" s="436"/>
      <c r="C95" s="436"/>
      <c r="D95" s="436"/>
      <c r="E95" s="436"/>
      <c r="F95" s="436"/>
      <c r="G95" s="436"/>
      <c r="H95" s="436"/>
      <c r="I95" s="436"/>
      <c r="J95" s="436"/>
      <c r="K95" s="436"/>
      <c r="L95" s="436"/>
      <c r="M95" s="436"/>
      <c r="N95" s="436"/>
      <c r="O95" s="436"/>
      <c r="P95" s="436"/>
      <c r="Q95" s="436"/>
      <c r="R95" s="436"/>
      <c r="S95" s="436"/>
      <c r="T95" s="436"/>
      <c r="U95" s="436"/>
      <c r="V95" s="437"/>
    </row>
    <row r="96" spans="1:22" ht="20.100000000000001" customHeight="1" thickBot="1" x14ac:dyDescent="0.3">
      <c r="A96" s="431" t="s">
        <v>76</v>
      </c>
      <c r="B96" s="434"/>
      <c r="C96" s="434"/>
      <c r="D96" s="434"/>
      <c r="E96" s="434"/>
      <c r="F96" s="434"/>
      <c r="G96" s="434"/>
      <c r="H96" s="434"/>
      <c r="I96" s="434"/>
      <c r="J96" s="434"/>
      <c r="K96" s="434"/>
      <c r="L96" s="434"/>
      <c r="M96" s="434"/>
      <c r="N96" s="434"/>
      <c r="O96" s="434"/>
      <c r="P96" s="434"/>
      <c r="Q96" s="434"/>
      <c r="R96" s="434"/>
      <c r="S96" s="434"/>
      <c r="T96" s="434"/>
      <c r="U96" s="434"/>
      <c r="V96" s="435"/>
    </row>
    <row r="97" spans="1:22" ht="15" customHeight="1" x14ac:dyDescent="0.25">
      <c r="A97" s="414" t="s">
        <v>116</v>
      </c>
      <c r="B97" s="415"/>
      <c r="C97" s="416"/>
      <c r="D97" s="164" t="s">
        <v>16</v>
      </c>
      <c r="E97" s="165" t="s">
        <v>17</v>
      </c>
      <c r="F97" s="166"/>
      <c r="G97" s="167"/>
      <c r="H97" s="168"/>
      <c r="I97" s="164" t="s">
        <v>91</v>
      </c>
      <c r="J97" s="169" t="s">
        <v>90</v>
      </c>
      <c r="K97" s="165" t="s">
        <v>92</v>
      </c>
      <c r="L97" s="414" t="s">
        <v>153</v>
      </c>
      <c r="M97" s="415"/>
      <c r="N97" s="416"/>
      <c r="O97" s="164" t="s">
        <v>16</v>
      </c>
      <c r="P97" s="165" t="s">
        <v>17</v>
      </c>
      <c r="Q97" s="166"/>
      <c r="R97" s="167"/>
      <c r="S97" s="168"/>
      <c r="T97" s="164" t="s">
        <v>91</v>
      </c>
      <c r="U97" s="169" t="s">
        <v>90</v>
      </c>
      <c r="V97" s="165" t="s">
        <v>92</v>
      </c>
    </row>
    <row r="98" spans="1:22" ht="15" customHeight="1" thickBot="1" x14ac:dyDescent="0.3">
      <c r="A98" s="417"/>
      <c r="B98" s="418"/>
      <c r="C98" s="419"/>
      <c r="D98" s="183">
        <f>VLOOKUP($A$1,AVAILABLE_Buildings_Defensive[#All],MATCH(A97,AVAILABLE_Buildings_Defensive[#Headers],0))</f>
        <v>175</v>
      </c>
      <c r="E98" s="184">
        <f>VLOOKUP($A$1,AVAILABLE_Buildings_Defensive[#All],MATCH(A97,AVAILABLE_Buildings_Defensive[#Headers],0)+1)</f>
        <v>7</v>
      </c>
      <c r="F98" s="185"/>
      <c r="G98" s="186"/>
      <c r="H98" s="187"/>
      <c r="I98" s="183">
        <f>IF(SUM(B100:B110)&gt;D98,"Error",SUM(B100:B110))</f>
        <v>175</v>
      </c>
      <c r="J98" s="188">
        <f>IF(I$98="Error","Error",D98-I98)</f>
        <v>0</v>
      </c>
      <c r="K98" s="189">
        <f>IF(I$98="Error","Error",SUM(F100:F110))</f>
        <v>195</v>
      </c>
      <c r="L98" s="417"/>
      <c r="M98" s="418"/>
      <c r="N98" s="419"/>
      <c r="O98" s="183">
        <f>VLOOKUP($A$1,AVAILABLE_Buildings_Defensive[#All],MATCH(L97,AVAILABLE_Buildings_Defensive[#Headers],0))</f>
        <v>2</v>
      </c>
      <c r="P98" s="184">
        <f>VLOOKUP($A$1,AVAILABLE_Buildings_Defensive[#All],MATCH(L97,AVAILABLE_Buildings_Defensive[#Headers],0)+1)</f>
        <v>5</v>
      </c>
      <c r="Q98" s="185"/>
      <c r="R98" s="186"/>
      <c r="S98" s="187"/>
      <c r="T98" s="183">
        <f>IF(SUM(M100:M107)&gt;O98,"Error",SUM(M100:M107))</f>
        <v>2</v>
      </c>
      <c r="U98" s="188">
        <f>IF(T$98="Error","Error",O98-T98)</f>
        <v>0</v>
      </c>
      <c r="V98" s="189">
        <f>IF(T$98="Error","Error",SUM(Q100:Q107))</f>
        <v>2</v>
      </c>
    </row>
    <row r="99" spans="1:22" ht="15" customHeight="1" thickBot="1" x14ac:dyDescent="0.3">
      <c r="A99" s="200" t="s">
        <v>14</v>
      </c>
      <c r="B99" s="262" t="s">
        <v>13</v>
      </c>
      <c r="C99" s="202"/>
      <c r="D99" s="202"/>
      <c r="E99" s="203"/>
      <c r="F99" s="204" t="s">
        <v>13</v>
      </c>
      <c r="G99" s="205" t="s">
        <v>14</v>
      </c>
      <c r="H99" s="206" t="s">
        <v>133</v>
      </c>
      <c r="I99" s="206" t="s">
        <v>134</v>
      </c>
      <c r="J99" s="206" t="s">
        <v>74</v>
      </c>
      <c r="K99" s="207" t="s">
        <v>75</v>
      </c>
      <c r="L99" s="200" t="s">
        <v>14</v>
      </c>
      <c r="M99" s="262" t="s">
        <v>13</v>
      </c>
      <c r="N99" s="202"/>
      <c r="O99" s="202"/>
      <c r="P99" s="203"/>
      <c r="Q99" s="268" t="s">
        <v>13</v>
      </c>
      <c r="R99" s="269" t="s">
        <v>14</v>
      </c>
      <c r="S99" s="206" t="s">
        <v>133</v>
      </c>
      <c r="T99" s="206" t="s">
        <v>134</v>
      </c>
      <c r="U99" s="206" t="s">
        <v>74</v>
      </c>
      <c r="V99" s="207" t="s">
        <v>75</v>
      </c>
    </row>
    <row r="100" spans="1:22" ht="15" customHeight="1" x14ac:dyDescent="0.25">
      <c r="A100" s="263">
        <v>1</v>
      </c>
      <c r="B100" s="264" t="str">
        <f>IF(Paramètres!M5=0,"",Paramètres!M5)</f>
        <v/>
      </c>
      <c r="C100" s="265">
        <f t="shared" ref="C100:C110" si="37">IF(C99&lt;&gt;0,C99+IF(AND(B99&lt;&gt;"",A99&lt;E$6),B99,0),IF(AND(B99&lt;&gt;"",A99&lt;E$6),B99,0))</f>
        <v>0</v>
      </c>
      <c r="D100" s="217"/>
      <c r="E100" s="218"/>
      <c r="F100" s="219">
        <f t="shared" ref="F100:F107" si="38">IF(G100&lt;&gt;"/",IF(I$98="Error","Error",$J$98+C100),"/")</f>
        <v>0</v>
      </c>
      <c r="G100" s="220">
        <f>IF(I$98="Error","Error",IF(AND($E$98&lt;&gt;"/",$E$98&gt;Paramètres!$AX2),Paramètres!$AX3,"/"))</f>
        <v>1</v>
      </c>
      <c r="H100" s="193">
        <f>IF(G100&lt;&gt;"/",VLOOKUP(G100,COSTS_Wall[#All],2),"/")</f>
        <v>200</v>
      </c>
      <c r="I100" s="194">
        <f>IF(G100&lt;&gt;"/",VLOOKUP(G100,COSTS_Wall[#All],3),"/")</f>
        <v>0</v>
      </c>
      <c r="J100" s="193">
        <f t="shared" ref="J100:J107" si="39">IF(I$98="Error","Error",IF(H100&lt;&gt;"/",F100*H100,0))</f>
        <v>0</v>
      </c>
      <c r="K100" s="221">
        <f t="shared" ref="K100:K107" si="40">IF(I$98="Error","Error",IF(I100&lt;&gt;"/",F100*I100,0))</f>
        <v>0</v>
      </c>
      <c r="L100" s="263">
        <v>1</v>
      </c>
      <c r="M100" s="264" t="str">
        <f>IF(Paramètres!Q5=0,"",Paramètres!Q5)</f>
        <v/>
      </c>
      <c r="N100" s="265">
        <f t="shared" ref="N100:N107" si="41">IF(N99&lt;&gt;0,N99+IF(AND(M99&lt;&gt;"",L99&lt;E$6),M99,0),IF(AND(M99&lt;&gt;"",L99&lt;E$6),M99,0))</f>
        <v>0</v>
      </c>
      <c r="O100" s="217"/>
      <c r="P100" s="218"/>
      <c r="Q100" s="223">
        <f t="shared" ref="Q100:Q107" si="42">IF(R100&lt;&gt;"/",IF(T$98="Error","Error",$U$98+N100),"/")</f>
        <v>0</v>
      </c>
      <c r="R100" s="224">
        <f>IF(T$98="Error","Error",IF(AND($P$98&lt;&gt;"/",$P$98&gt;Paramètres!$AX2),Paramètres!$AX3,"/"))</f>
        <v>1</v>
      </c>
      <c r="S100" s="180">
        <f>IF(R100&lt;&gt;"/",VLOOKUP(R100,COSTS_Air_Defense[#All],2),"/")</f>
        <v>22500</v>
      </c>
      <c r="T100" s="179">
        <f>IF(R100&lt;&gt;"/",VLOOKUP(R100,COSTS_Air_Defense[#All],3),"/")</f>
        <v>5</v>
      </c>
      <c r="U100" s="180">
        <f t="shared" ref="U100:U107" si="43">IF(T$98="Error","Error",IF(S100&lt;&gt;"/",Q100*S100,0))</f>
        <v>0</v>
      </c>
      <c r="V100" s="225">
        <f t="shared" ref="V100:V107" si="44">IF(T$98="Error","Error",IF(T100&lt;&gt;"/",Q100*T100,0))</f>
        <v>0</v>
      </c>
    </row>
    <row r="101" spans="1:22" ht="15" customHeight="1" x14ac:dyDescent="0.25">
      <c r="A101" s="266">
        <v>2</v>
      </c>
      <c r="B101" s="264" t="str">
        <f>IF(Paramètres!M6=0,"",Paramètres!M6)</f>
        <v/>
      </c>
      <c r="C101" s="265">
        <f t="shared" si="37"/>
        <v>0</v>
      </c>
      <c r="D101" s="227"/>
      <c r="E101" s="228"/>
      <c r="F101" s="219">
        <f t="shared" si="38"/>
        <v>0</v>
      </c>
      <c r="G101" s="220">
        <f>IF(I$98="Error","Error",IF(AND($E$98&lt;&gt;"/",$E$98&gt;Paramètres!$AX3),Paramètres!$AX4,"/"))</f>
        <v>2</v>
      </c>
      <c r="H101" s="193">
        <f>IF(G101&lt;&gt;"/",VLOOKUP(G101,COSTS_Wall[#All],2),"/")</f>
        <v>1000</v>
      </c>
      <c r="I101" s="194">
        <f>IF(G101&lt;&gt;"/",VLOOKUP(G101,COSTS_Wall[#All],3),"/")</f>
        <v>0</v>
      </c>
      <c r="J101" s="193">
        <f t="shared" si="39"/>
        <v>0</v>
      </c>
      <c r="K101" s="221">
        <f t="shared" si="40"/>
        <v>0</v>
      </c>
      <c r="L101" s="266">
        <v>2</v>
      </c>
      <c r="M101" s="264" t="str">
        <f>IF(Paramètres!Q6=0,"",Paramètres!Q6)</f>
        <v/>
      </c>
      <c r="N101" s="265">
        <f t="shared" si="41"/>
        <v>0</v>
      </c>
      <c r="O101" s="227"/>
      <c r="P101" s="228"/>
      <c r="Q101" s="219">
        <f t="shared" si="42"/>
        <v>0</v>
      </c>
      <c r="R101" s="220">
        <f>IF(T$98="Error","Error",IF(AND($P$98&lt;&gt;"/",$P$98&gt;Paramètres!$AX3),Paramètres!$AX4,"/"))</f>
        <v>2</v>
      </c>
      <c r="S101" s="193">
        <f>IF(R101&lt;&gt;"/",VLOOKUP(R101,COSTS_Air_Defense[#All],2),"/")</f>
        <v>90000</v>
      </c>
      <c r="T101" s="194">
        <f>IF(R101&lt;&gt;"/",VLOOKUP(R101,COSTS_Air_Defense[#All],3),"/")</f>
        <v>24</v>
      </c>
      <c r="U101" s="193">
        <f t="shared" si="43"/>
        <v>0</v>
      </c>
      <c r="V101" s="221">
        <f t="shared" si="44"/>
        <v>0</v>
      </c>
    </row>
    <row r="102" spans="1:22" ht="15" customHeight="1" x14ac:dyDescent="0.25">
      <c r="A102" s="266">
        <v>3</v>
      </c>
      <c r="B102" s="264" t="str">
        <f>IF(Paramètres!M7=0,"",Paramètres!M7)</f>
        <v/>
      </c>
      <c r="C102" s="265">
        <f t="shared" si="37"/>
        <v>0</v>
      </c>
      <c r="D102" s="227"/>
      <c r="E102" s="228"/>
      <c r="F102" s="219">
        <f t="shared" si="38"/>
        <v>0</v>
      </c>
      <c r="G102" s="220">
        <f>IF(I$98="Error","Error",IF(AND($E$98&lt;&gt;"/",$E$98&gt;Paramètres!$AX4),Paramètres!$AX5,"/"))</f>
        <v>3</v>
      </c>
      <c r="H102" s="193">
        <f>IF(G102&lt;&gt;"/",VLOOKUP(G102,COSTS_Wall[#All],2),"/")</f>
        <v>5000</v>
      </c>
      <c r="I102" s="194">
        <f>IF(G102&lt;&gt;"/",VLOOKUP(G102,COSTS_Wall[#All],3),"/")</f>
        <v>0</v>
      </c>
      <c r="J102" s="193">
        <f t="shared" si="39"/>
        <v>0</v>
      </c>
      <c r="K102" s="221">
        <f t="shared" si="40"/>
        <v>0</v>
      </c>
      <c r="L102" s="266">
        <v>3</v>
      </c>
      <c r="M102" s="264" t="str">
        <f>IF(Paramètres!Q7=0,"",Paramètres!Q7)</f>
        <v/>
      </c>
      <c r="N102" s="265">
        <f t="shared" si="41"/>
        <v>0</v>
      </c>
      <c r="O102" s="227"/>
      <c r="P102" s="228"/>
      <c r="Q102" s="219">
        <f t="shared" si="42"/>
        <v>0</v>
      </c>
      <c r="R102" s="220">
        <f>IF(T$98="Error","Error",IF(AND($P$98&lt;&gt;"/",$P$98&gt;Paramètres!$AX4),Paramètres!$AX5,"/"))</f>
        <v>3</v>
      </c>
      <c r="S102" s="193">
        <f>IF(R102&lt;&gt;"/",VLOOKUP(R102,COSTS_Air_Defense[#All],2),"/")</f>
        <v>270000</v>
      </c>
      <c r="T102" s="194">
        <f>IF(R102&lt;&gt;"/",VLOOKUP(R102,COSTS_Air_Defense[#All],3),"/")</f>
        <v>72</v>
      </c>
      <c r="U102" s="193">
        <f t="shared" si="43"/>
        <v>0</v>
      </c>
      <c r="V102" s="221">
        <f t="shared" si="44"/>
        <v>0</v>
      </c>
    </row>
    <row r="103" spans="1:22" ht="15" customHeight="1" x14ac:dyDescent="0.25">
      <c r="A103" s="266">
        <v>4</v>
      </c>
      <c r="B103" s="264" t="str">
        <f>IF(Paramètres!M8=0,"",Paramètres!M8)</f>
        <v/>
      </c>
      <c r="C103" s="265">
        <f t="shared" si="37"/>
        <v>0</v>
      </c>
      <c r="D103" s="227"/>
      <c r="E103" s="228"/>
      <c r="F103" s="219">
        <f t="shared" si="38"/>
        <v>0</v>
      </c>
      <c r="G103" s="220">
        <f>IF(I$98="Error","Error",IF(AND($E$98&lt;&gt;"/",$E$98&gt;Paramètres!$AX5),Paramètres!$AX6,"/"))</f>
        <v>4</v>
      </c>
      <c r="H103" s="193">
        <f>IF(G103&lt;&gt;"/",VLOOKUP(G103,COSTS_Wall[#All],2),"/")</f>
        <v>10000</v>
      </c>
      <c r="I103" s="194">
        <f>IF(G103&lt;&gt;"/",VLOOKUP(G103,COSTS_Wall[#All],3),"/")</f>
        <v>0</v>
      </c>
      <c r="J103" s="193">
        <f t="shared" si="39"/>
        <v>0</v>
      </c>
      <c r="K103" s="221">
        <f t="shared" si="40"/>
        <v>0</v>
      </c>
      <c r="L103" s="266">
        <v>4</v>
      </c>
      <c r="M103" s="264">
        <f>IF(Paramètres!Q8=0,"",Paramètres!Q8)</f>
        <v>2</v>
      </c>
      <c r="N103" s="265">
        <f t="shared" si="41"/>
        <v>0</v>
      </c>
      <c r="O103" s="227"/>
      <c r="P103" s="228"/>
      <c r="Q103" s="219">
        <f t="shared" si="42"/>
        <v>0</v>
      </c>
      <c r="R103" s="220">
        <f>IF(T$98="Error","Error",IF(AND($P$98&lt;&gt;"/",$P$98&gt;Paramètres!$AX5),Paramètres!$AX6,"/"))</f>
        <v>4</v>
      </c>
      <c r="S103" s="193">
        <f>IF(R103&lt;&gt;"/",VLOOKUP(R103,COSTS_Air_Defense[#All],2),"/")</f>
        <v>540000</v>
      </c>
      <c r="T103" s="194">
        <f>IF(R103&lt;&gt;"/",VLOOKUP(R103,COSTS_Air_Defense[#All],3),"/")</f>
        <v>120</v>
      </c>
      <c r="U103" s="193">
        <f t="shared" si="43"/>
        <v>0</v>
      </c>
      <c r="V103" s="221">
        <f t="shared" si="44"/>
        <v>0</v>
      </c>
    </row>
    <row r="104" spans="1:22" ht="15" customHeight="1" x14ac:dyDescent="0.25">
      <c r="A104" s="266">
        <v>5</v>
      </c>
      <c r="B104" s="264">
        <f>IF(Paramètres!M9=0,"",Paramètres!M9)</f>
        <v>20</v>
      </c>
      <c r="C104" s="265">
        <f t="shared" si="37"/>
        <v>0</v>
      </c>
      <c r="D104" s="227"/>
      <c r="E104" s="228"/>
      <c r="F104" s="219">
        <f t="shared" si="38"/>
        <v>0</v>
      </c>
      <c r="G104" s="220">
        <f>IF(I$98="Error","Error",IF(AND($E$98&lt;&gt;"/",$E$98&gt;Paramètres!$AX6),Paramètres!$AX7,"/"))</f>
        <v>5</v>
      </c>
      <c r="H104" s="193">
        <f>IF(G104&lt;&gt;"/",VLOOKUP(G104,COSTS_Wall[#All],2),"/")</f>
        <v>30000</v>
      </c>
      <c r="I104" s="194">
        <f>IF(G104&lt;&gt;"/",VLOOKUP(G104,COSTS_Wall[#All],3),"/")</f>
        <v>0</v>
      </c>
      <c r="J104" s="193">
        <f t="shared" si="39"/>
        <v>0</v>
      </c>
      <c r="K104" s="221">
        <f t="shared" si="40"/>
        <v>0</v>
      </c>
      <c r="L104" s="266">
        <v>5</v>
      </c>
      <c r="M104" s="264" t="str">
        <f>IF(Paramètres!Q9=0,"",Paramètres!Q9)</f>
        <v/>
      </c>
      <c r="N104" s="265">
        <f t="shared" si="41"/>
        <v>2</v>
      </c>
      <c r="O104" s="227"/>
      <c r="P104" s="228"/>
      <c r="Q104" s="219">
        <f t="shared" si="42"/>
        <v>2</v>
      </c>
      <c r="R104" s="220">
        <f>IF(T$98="Error","Error",IF(AND($P$98&lt;&gt;"/",$P$98&gt;Paramètres!$AX6),Paramètres!$AX7,"/"))</f>
        <v>5</v>
      </c>
      <c r="S104" s="193">
        <f>IF(R104&lt;&gt;"/",VLOOKUP(R104,COSTS_Air_Defense[#All],2),"/")</f>
        <v>1080000</v>
      </c>
      <c r="T104" s="194">
        <f>IF(R104&lt;&gt;"/",VLOOKUP(R104,COSTS_Air_Defense[#All],3),"/")</f>
        <v>144</v>
      </c>
      <c r="U104" s="193">
        <f t="shared" si="43"/>
        <v>2160000</v>
      </c>
      <c r="V104" s="221">
        <f t="shared" si="44"/>
        <v>288</v>
      </c>
    </row>
    <row r="105" spans="1:22" ht="15" customHeight="1" x14ac:dyDescent="0.25">
      <c r="A105" s="266">
        <v>6</v>
      </c>
      <c r="B105" s="264">
        <f>IF(Paramètres!M10=0,"",Paramètres!M10)</f>
        <v>155</v>
      </c>
      <c r="C105" s="265">
        <f t="shared" si="37"/>
        <v>20</v>
      </c>
      <c r="D105" s="227"/>
      <c r="E105" s="228"/>
      <c r="F105" s="219">
        <f t="shared" si="38"/>
        <v>20</v>
      </c>
      <c r="G105" s="220">
        <f>IF(I$98="Error","Error",IF(AND($E$98&lt;&gt;"/",$E$98&gt;Paramètres!$AX7),Paramètres!$AX8,"/"))</f>
        <v>6</v>
      </c>
      <c r="H105" s="193">
        <f>IF(G105&lt;&gt;"/",VLOOKUP(G105,COSTS_Wall[#All],2),"/")</f>
        <v>75000</v>
      </c>
      <c r="I105" s="194">
        <f>IF(G105&lt;&gt;"/",VLOOKUP(G105,COSTS_Wall[#All],3),"/")</f>
        <v>0</v>
      </c>
      <c r="J105" s="193">
        <f t="shared" si="39"/>
        <v>1500000</v>
      </c>
      <c r="K105" s="221">
        <f t="shared" si="40"/>
        <v>0</v>
      </c>
      <c r="L105" s="266">
        <v>6</v>
      </c>
      <c r="M105" s="264" t="str">
        <f>IF(Paramètres!Q10=0,"",Paramètres!Q10)</f>
        <v/>
      </c>
      <c r="N105" s="265">
        <f t="shared" si="41"/>
        <v>2</v>
      </c>
      <c r="O105" s="227"/>
      <c r="P105" s="228"/>
      <c r="Q105" s="219" t="str">
        <f t="shared" si="42"/>
        <v>/</v>
      </c>
      <c r="R105" s="220" t="str">
        <f>IF(T$98="Error","Error",IF(AND($P$98&lt;&gt;"/",$P$98&gt;Paramètres!$AX7),Paramètres!$AX8,"/"))</f>
        <v>/</v>
      </c>
      <c r="S105" s="193" t="str">
        <f>IF(R105&lt;&gt;"/",VLOOKUP(R105,COSTS_Air_Defense[#All],2),"/")</f>
        <v>/</v>
      </c>
      <c r="T105" s="194" t="str">
        <f>IF(R105&lt;&gt;"/",VLOOKUP(R105,COSTS_Air_Defense[#All],3),"/")</f>
        <v>/</v>
      </c>
      <c r="U105" s="193">
        <f t="shared" si="43"/>
        <v>0</v>
      </c>
      <c r="V105" s="221">
        <f t="shared" si="44"/>
        <v>0</v>
      </c>
    </row>
    <row r="106" spans="1:22" ht="15" customHeight="1" x14ac:dyDescent="0.25">
      <c r="A106" s="266">
        <v>7</v>
      </c>
      <c r="B106" s="264" t="str">
        <f>IF(Paramètres!M11=0,"",Paramètres!M11)</f>
        <v/>
      </c>
      <c r="C106" s="265">
        <f t="shared" si="37"/>
        <v>175</v>
      </c>
      <c r="D106" s="227"/>
      <c r="E106" s="228"/>
      <c r="F106" s="219">
        <f t="shared" si="38"/>
        <v>175</v>
      </c>
      <c r="G106" s="220">
        <f>IF(I$98="Error","Error",IF(AND($E$98&lt;&gt;"/",$E$98&gt;Paramètres!$AX8),Paramètres!$AX9,"/"))</f>
        <v>7</v>
      </c>
      <c r="H106" s="193">
        <f>IF(G106&lt;&gt;"/",VLOOKUP(G106,COSTS_Wall[#All],2),"/")</f>
        <v>200000</v>
      </c>
      <c r="I106" s="194">
        <f>IF(G106&lt;&gt;"/",VLOOKUP(G106,COSTS_Wall[#All],3),"/")</f>
        <v>0</v>
      </c>
      <c r="J106" s="193">
        <f t="shared" si="39"/>
        <v>35000000</v>
      </c>
      <c r="K106" s="221">
        <f t="shared" si="40"/>
        <v>0</v>
      </c>
      <c r="L106" s="266">
        <v>7</v>
      </c>
      <c r="M106" s="264" t="str">
        <f>IF(Paramètres!Q11=0,"",Paramètres!Q11)</f>
        <v/>
      </c>
      <c r="N106" s="265">
        <f t="shared" si="41"/>
        <v>2</v>
      </c>
      <c r="O106" s="227"/>
      <c r="P106" s="228"/>
      <c r="Q106" s="219" t="str">
        <f t="shared" si="42"/>
        <v>/</v>
      </c>
      <c r="R106" s="220" t="str">
        <f>IF(T$98="Error","Error",IF(AND($P$98&lt;&gt;"/",$P$98&gt;Paramètres!$AX8),Paramètres!$AX9,"/"))</f>
        <v>/</v>
      </c>
      <c r="S106" s="193" t="str">
        <f>IF(R106&lt;&gt;"/",VLOOKUP(R106,COSTS_Air_Defense[#All],2),"/")</f>
        <v>/</v>
      </c>
      <c r="T106" s="194" t="str">
        <f>IF(R106&lt;&gt;"/",VLOOKUP(R106,COSTS_Air_Defense[#All],3),"/")</f>
        <v>/</v>
      </c>
      <c r="U106" s="193">
        <f t="shared" si="43"/>
        <v>0</v>
      </c>
      <c r="V106" s="221">
        <f t="shared" si="44"/>
        <v>0</v>
      </c>
    </row>
    <row r="107" spans="1:22" ht="15" customHeight="1" thickBot="1" x14ac:dyDescent="0.3">
      <c r="A107" s="266">
        <v>8</v>
      </c>
      <c r="B107" s="264" t="str">
        <f>IF(Paramètres!M12=0,"",Paramètres!M12)</f>
        <v/>
      </c>
      <c r="C107" s="265">
        <f t="shared" si="37"/>
        <v>175</v>
      </c>
      <c r="D107" s="227"/>
      <c r="E107" s="228"/>
      <c r="F107" s="219" t="str">
        <f t="shared" si="38"/>
        <v>/</v>
      </c>
      <c r="G107" s="220" t="str">
        <f>IF(I$98="Error","Error",IF(AND($E$98&lt;&gt;"/",$E$98&gt;Paramètres!$AX9),Paramètres!$AX10,"/"))</f>
        <v>/</v>
      </c>
      <c r="H107" s="193" t="str">
        <f>IF(G107&lt;&gt;"/",VLOOKUP(G107,COSTS_Wall[#All],2),"/")</f>
        <v>/</v>
      </c>
      <c r="I107" s="194" t="str">
        <f>IF(G107&lt;&gt;"/",VLOOKUP(G107,COSTS_Wall[#All],3),"/")</f>
        <v>/</v>
      </c>
      <c r="J107" s="193">
        <f t="shared" si="39"/>
        <v>0</v>
      </c>
      <c r="K107" s="221">
        <f t="shared" si="40"/>
        <v>0</v>
      </c>
      <c r="L107" s="266">
        <v>8</v>
      </c>
      <c r="M107" s="264" t="str">
        <f>IF(Paramètres!Q12=0,"",Paramètres!Q12)</f>
        <v/>
      </c>
      <c r="N107" s="265">
        <f t="shared" si="41"/>
        <v>2</v>
      </c>
      <c r="O107" s="227"/>
      <c r="P107" s="228"/>
      <c r="Q107" s="243" t="str">
        <f t="shared" si="42"/>
        <v>/</v>
      </c>
      <c r="R107" s="241" t="str">
        <f>IF(T$98="Error","Error",IF(AND($P$98&lt;&gt;"/",$P$98&gt;Paramètres!$AX9),Paramètres!$AX10,"/"))</f>
        <v>/</v>
      </c>
      <c r="S107" s="244" t="str">
        <f>IF(R107&lt;&gt;"/",VLOOKUP(R107,COSTS_Air_Defense[#All],2),"/")</f>
        <v>/</v>
      </c>
      <c r="T107" s="233" t="str">
        <f>IF(R107&lt;&gt;"/",VLOOKUP(R107,COSTS_Air_Defense[#All],3),"/")</f>
        <v>/</v>
      </c>
      <c r="U107" s="244">
        <f t="shared" si="43"/>
        <v>0</v>
      </c>
      <c r="V107" s="242">
        <f t="shared" si="44"/>
        <v>0</v>
      </c>
    </row>
    <row r="108" spans="1:22" ht="15" customHeight="1" thickBot="1" x14ac:dyDescent="0.3">
      <c r="A108" s="266">
        <v>9</v>
      </c>
      <c r="B108" s="264" t="str">
        <f>IF(Paramètres!M13=0,"",Paramètres!M13)</f>
        <v/>
      </c>
      <c r="C108" s="265"/>
      <c r="D108" s="227"/>
      <c r="E108" s="228"/>
      <c r="F108" s="219" t="str">
        <f t="shared" ref="F108:F110" si="45">IF(G108&lt;&gt;"/",IF(I$98="Error","Error",$J$98+C108),"/")</f>
        <v>/</v>
      </c>
      <c r="G108" s="220" t="str">
        <f>IF(I$98="Error","Error",IF(AND($E$98&lt;&gt;"/",$E$98&gt;Paramètres!$AX10),Paramètres!$AX11,"/"))</f>
        <v>/</v>
      </c>
      <c r="H108" s="193" t="str">
        <f>IF(G108&lt;&gt;"/",VLOOKUP(G108,COSTS_Wall[#All],2),"/")</f>
        <v>/</v>
      </c>
      <c r="I108" s="194" t="str">
        <f>IF(G108&lt;&gt;"/",VLOOKUP(G108,COSTS_Wall[#All],3),"/")</f>
        <v>/</v>
      </c>
      <c r="J108" s="193">
        <f t="shared" ref="J108:J110" si="46">IF(I$98="Error","Error",IF(H108&lt;&gt;"/",F108*H108,0))</f>
        <v>0</v>
      </c>
      <c r="K108" s="221">
        <f t="shared" ref="K108:K110" si="47">IF(I$98="Error","Error",IF(I108&lt;&gt;"/",F108*I108,0))</f>
        <v>0</v>
      </c>
      <c r="L108" s="420"/>
      <c r="M108" s="421"/>
      <c r="N108" s="421"/>
      <c r="O108" s="421"/>
      <c r="P108" s="421"/>
      <c r="Q108" s="422"/>
      <c r="R108" s="422"/>
      <c r="S108" s="423"/>
      <c r="T108" s="158" t="s">
        <v>15</v>
      </c>
      <c r="U108" s="251">
        <f>IF(T$98="Error","Error",SUM(U100:U107))</f>
        <v>2160000</v>
      </c>
      <c r="V108" s="252">
        <f>IF(T$98="Error","Error",SUM(V100:V107))</f>
        <v>288</v>
      </c>
    </row>
    <row r="109" spans="1:22" ht="15" customHeight="1" x14ac:dyDescent="0.25">
      <c r="A109" s="266">
        <v>10</v>
      </c>
      <c r="B109" s="264" t="str">
        <f>IF(Paramètres!M14=0,"",Paramètres!M14)</f>
        <v/>
      </c>
      <c r="C109" s="265">
        <f>IF(C107&lt;&gt;0,C107+IF(AND(B107&lt;&gt;"",A107&lt;E$6),B107,0),IF(AND(B107&lt;&gt;"",A107&lt;E$6),B107,0))</f>
        <v>175</v>
      </c>
      <c r="D109" s="227"/>
      <c r="E109" s="228"/>
      <c r="F109" s="219" t="str">
        <f t="shared" si="45"/>
        <v>/</v>
      </c>
      <c r="G109" s="220" t="str">
        <f>IF(I$98="Error","Error",IF(AND($E$98&lt;&gt;"/",$E$98&gt;Paramètres!$AX11),Paramètres!$AX12,"/"))</f>
        <v>/</v>
      </c>
      <c r="H109" s="193" t="str">
        <f>IF(G109&lt;&gt;"/",VLOOKUP(G109,COSTS_Wall[#All],2),"/")</f>
        <v>/</v>
      </c>
      <c r="I109" s="194" t="str">
        <f>IF(G109&lt;&gt;"/",VLOOKUP(G109,COSTS_Wall[#All],3),"/")</f>
        <v>/</v>
      </c>
      <c r="J109" s="193">
        <f t="shared" si="46"/>
        <v>0</v>
      </c>
      <c r="K109" s="221">
        <f t="shared" si="47"/>
        <v>0</v>
      </c>
      <c r="L109" s="414" t="s">
        <v>121</v>
      </c>
      <c r="M109" s="415"/>
      <c r="N109" s="416"/>
      <c r="O109" s="164" t="s">
        <v>16</v>
      </c>
      <c r="P109" s="165" t="s">
        <v>17</v>
      </c>
      <c r="Q109" s="166"/>
      <c r="R109" s="167"/>
      <c r="S109" s="168"/>
      <c r="T109" s="164" t="s">
        <v>91</v>
      </c>
      <c r="U109" s="169" t="s">
        <v>90</v>
      </c>
      <c r="V109" s="165" t="s">
        <v>92</v>
      </c>
    </row>
    <row r="110" spans="1:22" ht="15" customHeight="1" thickBot="1" x14ac:dyDescent="0.3">
      <c r="A110" s="266">
        <v>11</v>
      </c>
      <c r="B110" s="264" t="str">
        <f>IF(Paramètres!M15=0,"",Paramètres!M15)</f>
        <v/>
      </c>
      <c r="C110" s="265">
        <f t="shared" si="37"/>
        <v>175</v>
      </c>
      <c r="D110" s="227"/>
      <c r="E110" s="228"/>
      <c r="F110" s="219" t="str">
        <f t="shared" si="45"/>
        <v>/</v>
      </c>
      <c r="G110" s="220" t="str">
        <f>IF(I$98="Error","Error",IF(AND($E$98&lt;&gt;"/",$E$98&gt;Paramètres!$AX12),Paramètres!$AX13,"/"))</f>
        <v>/</v>
      </c>
      <c r="H110" s="193" t="str">
        <f>IF(G110&lt;&gt;"/",VLOOKUP(G110,COSTS_Wall[#All],2),"/")</f>
        <v>/</v>
      </c>
      <c r="I110" s="194" t="str">
        <f>IF(G110&lt;&gt;"/",VLOOKUP(G110,COSTS_Wall[#All],3),"/")</f>
        <v>/</v>
      </c>
      <c r="J110" s="193">
        <f t="shared" si="46"/>
        <v>0</v>
      </c>
      <c r="K110" s="221">
        <f t="shared" si="47"/>
        <v>0</v>
      </c>
      <c r="L110" s="417"/>
      <c r="M110" s="418"/>
      <c r="N110" s="419"/>
      <c r="O110" s="183">
        <f>VLOOKUP($A$1,AVAILABLE_Buildings_Defensive[#All],MATCH(L109,AVAILABLE_Buildings_Defensive[#Headers],0))</f>
        <v>2</v>
      </c>
      <c r="P110" s="184">
        <f>VLOOKUP($A$1,AVAILABLE_Buildings_Defensive[#All],MATCH(L109,AVAILABLE_Buildings_Defensive[#Headers],0)+1)</f>
        <v>4</v>
      </c>
      <c r="Q110" s="185"/>
      <c r="R110" s="186"/>
      <c r="S110" s="187"/>
      <c r="T110" s="183">
        <f>IF(SUM(M112:M118)&gt;O110,"Error",SUM(M112:M118))</f>
        <v>2</v>
      </c>
      <c r="U110" s="188">
        <f>IF(T$110="Error","Error",O110-T110)</f>
        <v>0</v>
      </c>
      <c r="V110" s="189">
        <f>IF(T$110="Error","Error",SUM(Q112:Q118))</f>
        <v>0</v>
      </c>
    </row>
    <row r="111" spans="1:22" ht="15" customHeight="1" thickBot="1" x14ac:dyDescent="0.3">
      <c r="A111" s="420"/>
      <c r="B111" s="421"/>
      <c r="C111" s="421"/>
      <c r="D111" s="421"/>
      <c r="E111" s="421"/>
      <c r="F111" s="421"/>
      <c r="G111" s="421"/>
      <c r="H111" s="424"/>
      <c r="I111" s="248" t="s">
        <v>15</v>
      </c>
      <c r="J111" s="270">
        <f>IF(I$98="Error","Error",SUM(J100:J110))</f>
        <v>36500000</v>
      </c>
      <c r="K111" s="250">
        <f>IF(I$98="Error","Error",SUM(K100:K110))</f>
        <v>0</v>
      </c>
      <c r="L111" s="200" t="s">
        <v>14</v>
      </c>
      <c r="M111" s="262" t="s">
        <v>13</v>
      </c>
      <c r="N111" s="202"/>
      <c r="O111" s="202"/>
      <c r="P111" s="203"/>
      <c r="Q111" s="204" t="s">
        <v>13</v>
      </c>
      <c r="R111" s="205" t="s">
        <v>14</v>
      </c>
      <c r="S111" s="206" t="s">
        <v>133</v>
      </c>
      <c r="T111" s="206" t="s">
        <v>134</v>
      </c>
      <c r="U111" s="206" t="s">
        <v>74</v>
      </c>
      <c r="V111" s="207" t="s">
        <v>75</v>
      </c>
    </row>
    <row r="112" spans="1:22" ht="15" customHeight="1" x14ac:dyDescent="0.25">
      <c r="A112" s="414" t="s">
        <v>117</v>
      </c>
      <c r="B112" s="415"/>
      <c r="C112" s="416"/>
      <c r="D112" s="164" t="s">
        <v>16</v>
      </c>
      <c r="E112" s="165" t="s">
        <v>17</v>
      </c>
      <c r="F112" s="166"/>
      <c r="G112" s="167"/>
      <c r="H112" s="168"/>
      <c r="I112" s="164" t="s">
        <v>91</v>
      </c>
      <c r="J112" s="169" t="s">
        <v>90</v>
      </c>
      <c r="K112" s="165" t="s">
        <v>92</v>
      </c>
      <c r="L112" s="263">
        <v>1</v>
      </c>
      <c r="M112" s="264" t="str">
        <f>IF(Paramètres!R5=0,"",Paramètres!R5)</f>
        <v/>
      </c>
      <c r="N112" s="265">
        <f t="shared" ref="N112:N118" si="48">IF(N111&lt;&gt;0,N111+IF(AND(M111&lt;&gt;"",L111&lt;P$6),M111,0),IF(AND(M111&lt;&gt;"",L111&lt;P$6),M111,0))</f>
        <v>0</v>
      </c>
      <c r="O112" s="217"/>
      <c r="P112" s="218"/>
      <c r="Q112" s="219">
        <f t="shared" ref="Q112:Q118" si="49">IF(R112&lt;&gt;"/",IF(T$110="Error","Error",$U$110+N112),"/")</f>
        <v>0</v>
      </c>
      <c r="R112" s="220">
        <f>IF(T$110="Error","Error",IF(AND($P$110&lt;&gt;"/",$P$110&gt;Paramètres!$AX2),Paramètres!$AX3,"/"))</f>
        <v>1</v>
      </c>
      <c r="S112" s="193">
        <f>IF(R112&lt;&gt;"/",VLOOKUP(R112,COSTS_Wizard_Tower[#All],2),"/")</f>
        <v>180000</v>
      </c>
      <c r="T112" s="194">
        <f>IF(R112&lt;&gt;"/",VLOOKUP(R112,COSTS_Wizard_Tower[#All],3),"/")</f>
        <v>12</v>
      </c>
      <c r="U112" s="193">
        <f t="shared" ref="U112:U118" si="50">IF(T$110="Error","Error",IF(S112&lt;&gt;"/",Q112*S112,0))</f>
        <v>0</v>
      </c>
      <c r="V112" s="221">
        <f t="shared" ref="V112:V118" si="51">IF(T$110="Error","Error",IF(T112&lt;&gt;"/",Q112*T112,0))</f>
        <v>0</v>
      </c>
    </row>
    <row r="113" spans="1:22" ht="15" customHeight="1" thickBot="1" x14ac:dyDescent="0.3">
      <c r="A113" s="417"/>
      <c r="B113" s="418"/>
      <c r="C113" s="419"/>
      <c r="D113" s="183">
        <f>VLOOKUP($A$1,AVAILABLE_Buildings_Defensive[#All],MATCH(A112,AVAILABLE_Buildings_Defensive[#Headers],0))</f>
        <v>5</v>
      </c>
      <c r="E113" s="184">
        <f>VLOOKUP($A$1,AVAILABLE_Buildings_Defensive[#All],MATCH(A112,AVAILABLE_Buildings_Defensive[#Headers],0)+1)</f>
        <v>8</v>
      </c>
      <c r="F113" s="185"/>
      <c r="G113" s="186"/>
      <c r="H113" s="187"/>
      <c r="I113" s="183">
        <f>IF(SUM(B115:B126)&gt;D113,"Error",SUM(B115:B126))</f>
        <v>5</v>
      </c>
      <c r="J113" s="188">
        <f>IF(I$113="Error","Error",D113-I113)</f>
        <v>0</v>
      </c>
      <c r="K113" s="189">
        <f>IF(I$113="Error","Error",SUM(F115:F126))</f>
        <v>0</v>
      </c>
      <c r="L113" s="266">
        <v>2</v>
      </c>
      <c r="M113" s="264" t="str">
        <f>IF(Paramètres!R6=0,"",Paramètres!R6)</f>
        <v/>
      </c>
      <c r="N113" s="265">
        <f t="shared" si="48"/>
        <v>0</v>
      </c>
      <c r="O113" s="227"/>
      <c r="P113" s="228"/>
      <c r="Q113" s="219">
        <f t="shared" si="49"/>
        <v>0</v>
      </c>
      <c r="R113" s="220">
        <f>IF(T$110="Error","Error",IF(AND($P$110&lt;&gt;"/",$P$110&gt;Paramètres!$AX3),Paramètres!$AX4,"/"))</f>
        <v>2</v>
      </c>
      <c r="S113" s="193">
        <f>IF(R113&lt;&gt;"/",VLOOKUP(R113,COSTS_Wizard_Tower[#All],2),"/")</f>
        <v>360000</v>
      </c>
      <c r="T113" s="194">
        <f>IF(R113&lt;&gt;"/",VLOOKUP(R113,COSTS_Wizard_Tower[#All],3),"/")</f>
        <v>24</v>
      </c>
      <c r="U113" s="193">
        <f t="shared" si="50"/>
        <v>0</v>
      </c>
      <c r="V113" s="221">
        <f t="shared" si="51"/>
        <v>0</v>
      </c>
    </row>
    <row r="114" spans="1:22" ht="15" customHeight="1" thickBot="1" x14ac:dyDescent="0.3">
      <c r="A114" s="200" t="s">
        <v>14</v>
      </c>
      <c r="B114" s="262" t="s">
        <v>13</v>
      </c>
      <c r="C114" s="202"/>
      <c r="D114" s="202"/>
      <c r="E114" s="203"/>
      <c r="F114" s="268" t="s">
        <v>13</v>
      </c>
      <c r="G114" s="269" t="s">
        <v>14</v>
      </c>
      <c r="H114" s="206" t="s">
        <v>133</v>
      </c>
      <c r="I114" s="206" t="s">
        <v>134</v>
      </c>
      <c r="J114" s="206" t="s">
        <v>74</v>
      </c>
      <c r="K114" s="207" t="s">
        <v>75</v>
      </c>
      <c r="L114" s="266">
        <v>3</v>
      </c>
      <c r="M114" s="264" t="str">
        <f>IF(Paramètres!R7=0,"",Paramètres!R7)</f>
        <v/>
      </c>
      <c r="N114" s="265">
        <f t="shared" si="48"/>
        <v>0</v>
      </c>
      <c r="O114" s="227"/>
      <c r="P114" s="228"/>
      <c r="Q114" s="219">
        <f t="shared" si="49"/>
        <v>0</v>
      </c>
      <c r="R114" s="220">
        <f>IF(T$110="Error","Error",IF(AND($P$110&lt;&gt;"/",$P$110&gt;Paramètres!$AX4),Paramètres!$AX5,"/"))</f>
        <v>3</v>
      </c>
      <c r="S114" s="193">
        <f>IF(R114&lt;&gt;"/",VLOOKUP(R114,COSTS_Wizard_Tower[#All],2),"/")</f>
        <v>720000</v>
      </c>
      <c r="T114" s="194">
        <f>IF(R114&lt;&gt;"/",VLOOKUP(R114,COSTS_Wizard_Tower[#All],3),"/")</f>
        <v>48</v>
      </c>
      <c r="U114" s="193">
        <f t="shared" si="50"/>
        <v>0</v>
      </c>
      <c r="V114" s="221">
        <f t="shared" si="51"/>
        <v>0</v>
      </c>
    </row>
    <row r="115" spans="1:22" ht="15" customHeight="1" x14ac:dyDescent="0.25">
      <c r="A115" s="263">
        <v>1</v>
      </c>
      <c r="B115" s="264" t="str">
        <f>IF(Paramètres!N5=0,"",Paramètres!N5)</f>
        <v/>
      </c>
      <c r="C115" s="265">
        <f t="shared" ref="C115:C123" si="52">IF(C114&lt;&gt;0,C114+IF(AND(B114&lt;&gt;"",A114&lt;E$6),B114,0),IF(AND(B114&lt;&gt;"",A114&lt;E$6),B114,0))</f>
        <v>0</v>
      </c>
      <c r="D115" s="217"/>
      <c r="E115" s="218"/>
      <c r="F115" s="223">
        <f t="shared" ref="F115:F124" si="53">IF(G115&lt;&gt;"/",IF(I$113="Error","Error",$J$113+C115),"/")</f>
        <v>0</v>
      </c>
      <c r="G115" s="224">
        <f>IF(I$113="Error","Error",IF(AND($E$113&lt;&gt;"/",$E$113&gt;Paramètres!$AX2),Paramètres!$AX3,"/"))</f>
        <v>1</v>
      </c>
      <c r="H115" s="180">
        <f>IF(G115&lt;&gt;"/",VLOOKUP(G115,COSTS_Cannon[#All],2),"/")</f>
        <v>250</v>
      </c>
      <c r="I115" s="179">
        <f>IF(G115&lt;&gt;"/",VLOOKUP(G115,COSTS_Cannon[#All],3),"/")</f>
        <v>1.6666666666666666E-2</v>
      </c>
      <c r="J115" s="180">
        <f t="shared" ref="J115:J124" si="54">IF(I$113="Error","Error",IF(H115&lt;&gt;"/",F115*H115,0))</f>
        <v>0</v>
      </c>
      <c r="K115" s="225">
        <f t="shared" ref="K115:K124" si="55">IF(I$113="Error","Error",IF(I115&lt;&gt;"/",F115*I115,0))</f>
        <v>0</v>
      </c>
      <c r="L115" s="266">
        <v>4</v>
      </c>
      <c r="M115" s="264">
        <f>IF(Paramètres!R8=0,"",Paramètres!R8)</f>
        <v>2</v>
      </c>
      <c r="N115" s="265">
        <f t="shared" si="48"/>
        <v>0</v>
      </c>
      <c r="O115" s="227"/>
      <c r="P115" s="228"/>
      <c r="Q115" s="219">
        <f t="shared" si="49"/>
        <v>0</v>
      </c>
      <c r="R115" s="220">
        <f>IF(T$110="Error","Error",IF(AND($P$110&lt;&gt;"/",$P$110&gt;Paramètres!$AX5),Paramètres!$AX6,"/"))</f>
        <v>4</v>
      </c>
      <c r="S115" s="193">
        <f>IF(R115&lt;&gt;"/",VLOOKUP(R115,COSTS_Wizard_Tower[#All],2),"/")</f>
        <v>1280000</v>
      </c>
      <c r="T115" s="194">
        <f>IF(R115&lt;&gt;"/",VLOOKUP(R115,COSTS_Wizard_Tower[#All],3),"/")</f>
        <v>96</v>
      </c>
      <c r="U115" s="193">
        <f t="shared" si="50"/>
        <v>0</v>
      </c>
      <c r="V115" s="221">
        <f t="shared" si="51"/>
        <v>0</v>
      </c>
    </row>
    <row r="116" spans="1:22" ht="15" customHeight="1" x14ac:dyDescent="0.25">
      <c r="A116" s="266">
        <v>2</v>
      </c>
      <c r="B116" s="264" t="str">
        <f>IF(Paramètres!N6=0,"",Paramètres!N6)</f>
        <v/>
      </c>
      <c r="C116" s="265">
        <f t="shared" si="52"/>
        <v>0</v>
      </c>
      <c r="D116" s="227"/>
      <c r="E116" s="228"/>
      <c r="F116" s="219">
        <f t="shared" si="53"/>
        <v>0</v>
      </c>
      <c r="G116" s="220">
        <f>IF(I$113="Error","Error",IF(AND($E$113&lt;&gt;"/",$E$113&gt;Paramètres!$AX3),Paramètres!$AX4,"/"))</f>
        <v>2</v>
      </c>
      <c r="H116" s="193">
        <f>IF(G116&lt;&gt;"/",VLOOKUP(G116,COSTS_Cannon[#All],2),"/")</f>
        <v>1000</v>
      </c>
      <c r="I116" s="194">
        <f>IF(G116&lt;&gt;"/",VLOOKUP(G116,COSTS_Cannon[#All],3),"/")</f>
        <v>0.25</v>
      </c>
      <c r="J116" s="193">
        <f t="shared" si="54"/>
        <v>0</v>
      </c>
      <c r="K116" s="221">
        <f t="shared" si="55"/>
        <v>0</v>
      </c>
      <c r="L116" s="266">
        <v>5</v>
      </c>
      <c r="M116" s="264" t="str">
        <f>IF(Paramètres!R9=0,"",Paramètres!R9)</f>
        <v/>
      </c>
      <c r="N116" s="265">
        <f t="shared" si="48"/>
        <v>2</v>
      </c>
      <c r="O116" s="227"/>
      <c r="P116" s="228"/>
      <c r="Q116" s="219" t="str">
        <f t="shared" si="49"/>
        <v>/</v>
      </c>
      <c r="R116" s="220" t="str">
        <f>IF(T$110="Error","Error",IF(AND($P$110&lt;&gt;"/",$P$110&gt;Paramètres!$AX6),Paramètres!$AX7,"/"))</f>
        <v>/</v>
      </c>
      <c r="S116" s="193" t="str">
        <f>IF(R116&lt;&gt;"/",VLOOKUP(R116,COSTS_Wizard_Tower[#All],2),"/")</f>
        <v>/</v>
      </c>
      <c r="T116" s="194" t="str">
        <f>IF(R116&lt;&gt;"/",VLOOKUP(R116,COSTS_Wizard_Tower[#All],3),"/")</f>
        <v>/</v>
      </c>
      <c r="U116" s="193">
        <f t="shared" si="50"/>
        <v>0</v>
      </c>
      <c r="V116" s="221">
        <f t="shared" si="51"/>
        <v>0</v>
      </c>
    </row>
    <row r="117" spans="1:22" ht="15" customHeight="1" x14ac:dyDescent="0.25">
      <c r="A117" s="266">
        <v>3</v>
      </c>
      <c r="B117" s="264" t="str">
        <f>IF(Paramètres!N7=0,"",Paramètres!N7)</f>
        <v/>
      </c>
      <c r="C117" s="265">
        <f t="shared" si="52"/>
        <v>0</v>
      </c>
      <c r="D117" s="227"/>
      <c r="E117" s="228"/>
      <c r="F117" s="219">
        <f t="shared" si="53"/>
        <v>0</v>
      </c>
      <c r="G117" s="220">
        <f>IF(I$113="Error","Error",IF(AND($E$113&lt;&gt;"/",$E$113&gt;Paramètres!$AX4),Paramètres!$AX5,"/"))</f>
        <v>3</v>
      </c>
      <c r="H117" s="193">
        <f>IF(G117&lt;&gt;"/",VLOOKUP(G117,COSTS_Cannon[#All],2),"/")</f>
        <v>4000</v>
      </c>
      <c r="I117" s="194">
        <f>IF(G117&lt;&gt;"/",VLOOKUP(G117,COSTS_Cannon[#All],3),"/")</f>
        <v>0.75</v>
      </c>
      <c r="J117" s="193">
        <f t="shared" si="54"/>
        <v>0</v>
      </c>
      <c r="K117" s="221">
        <f t="shared" si="55"/>
        <v>0</v>
      </c>
      <c r="L117" s="266">
        <v>6</v>
      </c>
      <c r="M117" s="264" t="str">
        <f>IF(Paramètres!R10=0,"",Paramètres!R10)</f>
        <v/>
      </c>
      <c r="N117" s="265">
        <f t="shared" si="48"/>
        <v>2</v>
      </c>
      <c r="O117" s="227"/>
      <c r="P117" s="228"/>
      <c r="Q117" s="219" t="str">
        <f t="shared" si="49"/>
        <v>/</v>
      </c>
      <c r="R117" s="220" t="str">
        <f>IF(T$110="Error","Error",IF(AND($P$110&lt;&gt;"/",$P$110&gt;Paramètres!$AX7),Paramètres!$AX8,"/"))</f>
        <v>/</v>
      </c>
      <c r="S117" s="193" t="str">
        <f>IF(R117&lt;&gt;"/",VLOOKUP(R117,COSTS_Wizard_Tower[#All],2),"/")</f>
        <v>/</v>
      </c>
      <c r="T117" s="194" t="str">
        <f>IF(R117&lt;&gt;"/",VLOOKUP(R117,COSTS_Wizard_Tower[#All],3),"/")</f>
        <v>/</v>
      </c>
      <c r="U117" s="193">
        <f t="shared" si="50"/>
        <v>0</v>
      </c>
      <c r="V117" s="221">
        <f t="shared" si="51"/>
        <v>0</v>
      </c>
    </row>
    <row r="118" spans="1:22" ht="15" customHeight="1" thickBot="1" x14ac:dyDescent="0.3">
      <c r="A118" s="266">
        <v>4</v>
      </c>
      <c r="B118" s="264" t="str">
        <f>IF(Paramètres!N8=0,"",Paramètres!N8)</f>
        <v/>
      </c>
      <c r="C118" s="265">
        <f t="shared" si="52"/>
        <v>0</v>
      </c>
      <c r="D118" s="227"/>
      <c r="E118" s="228"/>
      <c r="F118" s="219">
        <f t="shared" si="53"/>
        <v>0</v>
      </c>
      <c r="G118" s="220">
        <f>IF(I$113="Error","Error",IF(AND($E$113&lt;&gt;"/",$E$113&gt;Paramètres!$AX5),Paramètres!$AX6,"/"))</f>
        <v>4</v>
      </c>
      <c r="H118" s="193">
        <f>IF(G118&lt;&gt;"/",VLOOKUP(G118,COSTS_Cannon[#All],2),"/")</f>
        <v>16000</v>
      </c>
      <c r="I118" s="194">
        <f>IF(G118&lt;&gt;"/",VLOOKUP(G118,COSTS_Cannon[#All],3),"/")</f>
        <v>2</v>
      </c>
      <c r="J118" s="193">
        <f t="shared" si="54"/>
        <v>0</v>
      </c>
      <c r="K118" s="221">
        <f t="shared" si="55"/>
        <v>0</v>
      </c>
      <c r="L118" s="266">
        <v>7</v>
      </c>
      <c r="M118" s="264" t="str">
        <f>IF(Paramètres!R11=0,"",Paramètres!R11)</f>
        <v/>
      </c>
      <c r="N118" s="265">
        <f t="shared" si="48"/>
        <v>2</v>
      </c>
      <c r="O118" s="227"/>
      <c r="P118" s="228"/>
      <c r="Q118" s="219" t="str">
        <f t="shared" si="49"/>
        <v>/</v>
      </c>
      <c r="R118" s="220" t="str">
        <f>IF(T$110="Error","Error",IF(AND($P$110&lt;&gt;"/",$P$110&gt;Paramètres!$AX8),Paramètres!$AX9,"/"))</f>
        <v>/</v>
      </c>
      <c r="S118" s="193" t="str">
        <f>IF(R118&lt;&gt;"/",VLOOKUP(R118,COSTS_Wizard_Tower[#All],2),"/")</f>
        <v>/</v>
      </c>
      <c r="T118" s="194" t="str">
        <f>IF(R118&lt;&gt;"/",VLOOKUP(R118,COSTS_Wizard_Tower[#All],3),"/")</f>
        <v>/</v>
      </c>
      <c r="U118" s="193">
        <f t="shared" si="50"/>
        <v>0</v>
      </c>
      <c r="V118" s="221">
        <f t="shared" si="51"/>
        <v>0</v>
      </c>
    </row>
    <row r="119" spans="1:22" ht="15" customHeight="1" thickBot="1" x14ac:dyDescent="0.3">
      <c r="A119" s="266">
        <v>5</v>
      </c>
      <c r="B119" s="264" t="str">
        <f>IF(Paramètres!N9=0,"",Paramètres!N9)</f>
        <v/>
      </c>
      <c r="C119" s="265">
        <f t="shared" si="52"/>
        <v>0</v>
      </c>
      <c r="D119" s="227"/>
      <c r="E119" s="228"/>
      <c r="F119" s="219">
        <f t="shared" si="53"/>
        <v>0</v>
      </c>
      <c r="G119" s="220">
        <f>IF(I$113="Error","Error",IF(AND($E$113&lt;&gt;"/",$E$113&gt;Paramètres!$AX6),Paramètres!$AX7,"/"))</f>
        <v>5</v>
      </c>
      <c r="H119" s="193">
        <f>IF(G119&lt;&gt;"/",VLOOKUP(G119,COSTS_Cannon[#All],2),"/")</f>
        <v>50000</v>
      </c>
      <c r="I119" s="194">
        <f>IF(G119&lt;&gt;"/",VLOOKUP(G119,COSTS_Cannon[#All],3),"/")</f>
        <v>6</v>
      </c>
      <c r="J119" s="193">
        <f t="shared" si="54"/>
        <v>0</v>
      </c>
      <c r="K119" s="221">
        <f t="shared" si="55"/>
        <v>0</v>
      </c>
      <c r="L119" s="420"/>
      <c r="M119" s="421"/>
      <c r="N119" s="421"/>
      <c r="O119" s="421"/>
      <c r="P119" s="421"/>
      <c r="Q119" s="421"/>
      <c r="R119" s="421"/>
      <c r="S119" s="424"/>
      <c r="T119" s="248" t="s">
        <v>15</v>
      </c>
      <c r="U119" s="270">
        <f>IF(T$110="Error","Error",SUM(U112:U118))</f>
        <v>0</v>
      </c>
      <c r="V119" s="250">
        <f>IF(T$110="Error","Error",SUM(V112:V118))</f>
        <v>0</v>
      </c>
    </row>
    <row r="120" spans="1:22" ht="15" customHeight="1" x14ac:dyDescent="0.25">
      <c r="A120" s="266">
        <v>6</v>
      </c>
      <c r="B120" s="264" t="str">
        <f>IF(Paramètres!N10=0,"",Paramètres!N10)</f>
        <v/>
      </c>
      <c r="C120" s="265">
        <f t="shared" si="52"/>
        <v>0</v>
      </c>
      <c r="D120" s="227"/>
      <c r="E120" s="228"/>
      <c r="F120" s="219">
        <f t="shared" si="53"/>
        <v>0</v>
      </c>
      <c r="G120" s="220">
        <f>IF(I$113="Error","Error",IF(AND($E$113&lt;&gt;"/",$E$113&gt;Paramètres!$AX7),Paramètres!$AX8,"/"))</f>
        <v>6</v>
      </c>
      <c r="H120" s="193">
        <f>IF(G120&lt;&gt;"/",VLOOKUP(G120,COSTS_Cannon[#All],2),"/")</f>
        <v>100000</v>
      </c>
      <c r="I120" s="194">
        <f>IF(G120&lt;&gt;"/",VLOOKUP(G120,COSTS_Cannon[#All],3),"/")</f>
        <v>12</v>
      </c>
      <c r="J120" s="193">
        <f t="shared" si="54"/>
        <v>0</v>
      </c>
      <c r="K120" s="221">
        <f t="shared" si="55"/>
        <v>0</v>
      </c>
      <c r="L120" s="414" t="s">
        <v>159</v>
      </c>
      <c r="M120" s="415"/>
      <c r="N120" s="416"/>
      <c r="O120" s="164" t="s">
        <v>16</v>
      </c>
      <c r="P120" s="165" t="s">
        <v>17</v>
      </c>
      <c r="Q120" s="166"/>
      <c r="R120" s="167"/>
      <c r="S120" s="168"/>
      <c r="T120" s="164" t="s">
        <v>91</v>
      </c>
      <c r="U120" s="169" t="s">
        <v>90</v>
      </c>
      <c r="V120" s="165" t="s">
        <v>92</v>
      </c>
    </row>
    <row r="121" spans="1:22" ht="15" customHeight="1" thickBot="1" x14ac:dyDescent="0.3">
      <c r="A121" s="266">
        <v>7</v>
      </c>
      <c r="B121" s="264" t="str">
        <f>IF(Paramètres!N11=0,"",Paramètres!N11)</f>
        <v/>
      </c>
      <c r="C121" s="265">
        <f t="shared" si="52"/>
        <v>0</v>
      </c>
      <c r="D121" s="227"/>
      <c r="E121" s="228"/>
      <c r="F121" s="219">
        <f t="shared" si="53"/>
        <v>0</v>
      </c>
      <c r="G121" s="220">
        <f>IF(I$113="Error","Error",IF(AND($E$113&lt;&gt;"/",$E$113&gt;Paramètres!$AX8),Paramètres!$AX9,"/"))</f>
        <v>7</v>
      </c>
      <c r="H121" s="193">
        <f>IF(G121&lt;&gt;"/",VLOOKUP(G121,COSTS_Cannon[#All],2),"/")</f>
        <v>200000</v>
      </c>
      <c r="I121" s="194">
        <f>IF(G121&lt;&gt;"/",VLOOKUP(G121,COSTS_Cannon[#All],3),"/")</f>
        <v>24</v>
      </c>
      <c r="J121" s="193">
        <f t="shared" si="54"/>
        <v>0</v>
      </c>
      <c r="K121" s="221">
        <f t="shared" si="55"/>
        <v>0</v>
      </c>
      <c r="L121" s="417"/>
      <c r="M121" s="418"/>
      <c r="N121" s="419"/>
      <c r="O121" s="183">
        <f>VLOOKUP($A$1,AVAILABLE_Buildings_Defensive[#All],MATCH(L120,AVAILABLE_Buildings_Defensive[#Headers],0))</f>
        <v>2</v>
      </c>
      <c r="P121" s="184">
        <f>VLOOKUP($A$1,AVAILABLE_Buildings_Defensive[#All],MATCH(L120,AVAILABLE_Buildings_Defensive[#Headers],0)+1)</f>
        <v>3</v>
      </c>
      <c r="Q121" s="185"/>
      <c r="R121" s="186"/>
      <c r="S121" s="187"/>
      <c r="T121" s="183">
        <f>IF(SUM(M123:M129)&gt;O121,"Error",SUM(M123:M129))</f>
        <v>2</v>
      </c>
      <c r="U121" s="188">
        <f>IF(T$121="Error","Error",O121-T121)</f>
        <v>0</v>
      </c>
      <c r="V121" s="189">
        <f>IF(T$121="Error","Error",SUM(Q123:Q129))</f>
        <v>4</v>
      </c>
    </row>
    <row r="122" spans="1:22" ht="15" customHeight="1" thickBot="1" x14ac:dyDescent="0.3">
      <c r="A122" s="266">
        <v>8</v>
      </c>
      <c r="B122" s="264">
        <f>IF(Paramètres!N12=0,"",Paramètres!N12)</f>
        <v>5</v>
      </c>
      <c r="C122" s="265">
        <f t="shared" si="52"/>
        <v>0</v>
      </c>
      <c r="D122" s="227"/>
      <c r="E122" s="228"/>
      <c r="F122" s="219">
        <f t="shared" si="53"/>
        <v>0</v>
      </c>
      <c r="G122" s="220">
        <f>IF(I$113="Error","Error",IF(AND($E$113&lt;&gt;"/",$E$113&gt;Paramètres!$AX9),Paramètres!$AX10,"/"))</f>
        <v>8</v>
      </c>
      <c r="H122" s="193">
        <f>IF(G122&lt;&gt;"/",VLOOKUP(G122,COSTS_Cannon[#All],2),"/")</f>
        <v>400000</v>
      </c>
      <c r="I122" s="194">
        <f>IF(G122&lt;&gt;"/",VLOOKUP(G122,COSTS_Cannon[#All],3),"/")</f>
        <v>48</v>
      </c>
      <c r="J122" s="193">
        <f t="shared" si="54"/>
        <v>0</v>
      </c>
      <c r="K122" s="221">
        <f t="shared" si="55"/>
        <v>0</v>
      </c>
      <c r="L122" s="200" t="s">
        <v>14</v>
      </c>
      <c r="M122" s="262" t="s">
        <v>13</v>
      </c>
      <c r="N122" s="202"/>
      <c r="O122" s="202"/>
      <c r="P122" s="203"/>
      <c r="Q122" s="204" t="s">
        <v>13</v>
      </c>
      <c r="R122" s="205" t="s">
        <v>14</v>
      </c>
      <c r="S122" s="206" t="s">
        <v>133</v>
      </c>
      <c r="T122" s="206" t="s">
        <v>134</v>
      </c>
      <c r="U122" s="206" t="s">
        <v>74</v>
      </c>
      <c r="V122" s="207" t="s">
        <v>75</v>
      </c>
    </row>
    <row r="123" spans="1:22" ht="15" customHeight="1" x14ac:dyDescent="0.25">
      <c r="A123" s="266">
        <v>9</v>
      </c>
      <c r="B123" s="264" t="str">
        <f>IF(Paramètres!N13=0,"",Paramètres!N13)</f>
        <v/>
      </c>
      <c r="C123" s="265">
        <f t="shared" si="52"/>
        <v>5</v>
      </c>
      <c r="D123" s="227"/>
      <c r="E123" s="228"/>
      <c r="F123" s="219" t="str">
        <f t="shared" si="53"/>
        <v>/</v>
      </c>
      <c r="G123" s="220" t="str">
        <f>IF(I$113="Error","Error",IF(AND($E$113&lt;&gt;"/",$E$113&gt;Paramètres!$AX10),Paramètres!$AX11,"/"))</f>
        <v>/</v>
      </c>
      <c r="H123" s="193" t="str">
        <f>IF(G123&lt;&gt;"/",VLOOKUP(G123,COSTS_Cannon[#All],2),"/")</f>
        <v>/</v>
      </c>
      <c r="I123" s="194" t="str">
        <f>IF(G123&lt;&gt;"/",VLOOKUP(G123,COSTS_Cannon[#All],3),"/")</f>
        <v>/</v>
      </c>
      <c r="J123" s="193">
        <f t="shared" si="54"/>
        <v>0</v>
      </c>
      <c r="K123" s="221">
        <f t="shared" si="55"/>
        <v>0</v>
      </c>
      <c r="L123" s="263">
        <v>1</v>
      </c>
      <c r="M123" s="264">
        <f>IF(Paramètres!S5=0,"",Paramètres!S5)</f>
        <v>2</v>
      </c>
      <c r="N123" s="265">
        <f t="shared" ref="N123:N129" si="56">IF(N122&lt;&gt;0,N122+IF(AND(M122&lt;&gt;"",L122&lt;P$6),M122,0),IF(AND(M122&lt;&gt;"",L122&lt;P$6),M122,0))</f>
        <v>0</v>
      </c>
      <c r="O123" s="217"/>
      <c r="P123" s="218"/>
      <c r="Q123" s="219">
        <f t="shared" ref="Q123:Q129" si="57">IF(R123&lt;&gt;"/",IF(T$121="Error","Error",$U$121+N123),"/")</f>
        <v>0</v>
      </c>
      <c r="R123" s="220">
        <f>IF(T$121="Error","Error",IF(AND($P$121&lt;&gt;"/",$P$121&gt;Paramètres!$AX2),Paramètres!$AX3,"/"))</f>
        <v>1</v>
      </c>
      <c r="S123" s="195">
        <f>IF(R123&lt;&gt;"/",VLOOKUP(R123,COSTS_Hidden_Tesla[#All],2),"/")</f>
        <v>1000000</v>
      </c>
      <c r="T123" s="194">
        <f>IF(R123&lt;&gt;"/",VLOOKUP(R123,COSTS_Hidden_Tesla[#All],3),"/")</f>
        <v>48</v>
      </c>
      <c r="U123" s="195">
        <f t="shared" ref="U123:U129" si="58">IF(T$121="Error","Error",IF(S123&lt;&gt;"/",Q123*S123,0))</f>
        <v>0</v>
      </c>
      <c r="V123" s="221">
        <f t="shared" ref="V123:V129" si="59">IF(T$121="Error","Error",IF(T123&lt;&gt;"/",Q123*T123,0))</f>
        <v>0</v>
      </c>
    </row>
    <row r="124" spans="1:22" ht="15" customHeight="1" x14ac:dyDescent="0.25">
      <c r="A124" s="266">
        <v>10</v>
      </c>
      <c r="B124" s="264" t="str">
        <f>IF(Paramètres!N14=0,"",Paramètres!N14)</f>
        <v/>
      </c>
      <c r="C124" s="265">
        <f>IF(C123&lt;&gt;0,C123+IF(AND(B123&lt;&gt;"",A123&lt;E$6),B123,0),IF(AND(B123&lt;&gt;"",A123&lt;E$6),B123,0))</f>
        <v>5</v>
      </c>
      <c r="D124" s="227"/>
      <c r="E124" s="228"/>
      <c r="F124" s="219" t="str">
        <f t="shared" si="53"/>
        <v>/</v>
      </c>
      <c r="G124" s="220" t="str">
        <f>IF(I$113="Error","Error",IF(AND($E$113&lt;&gt;"/",$E$113&gt;Paramètres!$AX11),Paramètres!$AX12,"/"))</f>
        <v>/</v>
      </c>
      <c r="H124" s="193" t="str">
        <f>IF(G124&lt;&gt;"/",VLOOKUP(G124,COSTS_Cannon[#All],2),"/")</f>
        <v>/</v>
      </c>
      <c r="I124" s="194" t="str">
        <f>IF(G124&lt;&gt;"/",VLOOKUP(G124,COSTS_Cannon[#All],3),"/")</f>
        <v>/</v>
      </c>
      <c r="J124" s="193">
        <f t="shared" si="54"/>
        <v>0</v>
      </c>
      <c r="K124" s="221">
        <f t="shared" si="55"/>
        <v>0</v>
      </c>
      <c r="L124" s="266">
        <v>2</v>
      </c>
      <c r="M124" s="264" t="str">
        <f>IF(Paramètres!S6=0,"",Paramètres!S6)</f>
        <v/>
      </c>
      <c r="N124" s="265">
        <f t="shared" si="56"/>
        <v>2</v>
      </c>
      <c r="O124" s="227"/>
      <c r="P124" s="228"/>
      <c r="Q124" s="219">
        <f t="shared" si="57"/>
        <v>2</v>
      </c>
      <c r="R124" s="220">
        <f>IF(T$121="Error","Error",IF(AND($P$121&lt;&gt;"/",$P$121&gt;Paramètres!$AX3),Paramètres!$AX4,"/"))</f>
        <v>2</v>
      </c>
      <c r="S124" s="195">
        <f>IF(R124&lt;&gt;"/",VLOOKUP(R124,COSTS_Hidden_Tesla[#All],2),"/")</f>
        <v>1250000</v>
      </c>
      <c r="T124" s="194">
        <f>IF(R124&lt;&gt;"/",VLOOKUP(R124,COSTS_Hidden_Tesla[#All],3),"/")</f>
        <v>96</v>
      </c>
      <c r="U124" s="195">
        <f t="shared" si="58"/>
        <v>2500000</v>
      </c>
      <c r="V124" s="221">
        <f t="shared" si="59"/>
        <v>192</v>
      </c>
    </row>
    <row r="125" spans="1:22" ht="15" customHeight="1" x14ac:dyDescent="0.25">
      <c r="A125" s="271">
        <v>11</v>
      </c>
      <c r="B125" s="264" t="str">
        <f>IF(Paramètres!N15=0,"",Paramètres!N15)</f>
        <v/>
      </c>
      <c r="C125" s="265">
        <f t="shared" ref="C125:C126" si="60">IF(C124&lt;&gt;0,C124+IF(AND(B124&lt;&gt;"",A124&lt;E$6),B124,0),IF(AND(B124&lt;&gt;"",A124&lt;E$6),B124,0))</f>
        <v>5</v>
      </c>
      <c r="D125" s="227"/>
      <c r="E125" s="228"/>
      <c r="F125" s="219" t="str">
        <f t="shared" ref="F125:F126" si="61">IF(G125&lt;&gt;"/",IF(I$113="Error","Error",$J$113+C125),"/")</f>
        <v>/</v>
      </c>
      <c r="G125" s="220" t="str">
        <f>IF(I$113="Error","Error",IF(AND($E$113&lt;&gt;"/",$E$113&gt;Paramètres!$AX12),Paramètres!$AX13,"/"))</f>
        <v>/</v>
      </c>
      <c r="H125" s="193" t="str">
        <f>IF(G125&lt;&gt;"/",VLOOKUP(G125,COSTS_Cannon[#All],2),"/")</f>
        <v>/</v>
      </c>
      <c r="I125" s="194" t="str">
        <f>IF(G125&lt;&gt;"/",VLOOKUP(G125,COSTS_Cannon[#All],3),"/")</f>
        <v>/</v>
      </c>
      <c r="J125" s="193">
        <f t="shared" ref="J125:J126" si="62">IF(I$113="Error","Error",IF(H125&lt;&gt;"/",F125*H125,0))</f>
        <v>0</v>
      </c>
      <c r="K125" s="221">
        <f t="shared" ref="K125:K126" si="63">IF(I$113="Error","Error",IF(I125&lt;&gt;"/",F125*I125,0))</f>
        <v>0</v>
      </c>
      <c r="L125" s="266">
        <v>3</v>
      </c>
      <c r="M125" s="264" t="str">
        <f>IF(Paramètres!S7=0,"",Paramètres!S7)</f>
        <v/>
      </c>
      <c r="N125" s="265">
        <f t="shared" si="56"/>
        <v>2</v>
      </c>
      <c r="O125" s="227"/>
      <c r="P125" s="228"/>
      <c r="Q125" s="219">
        <f t="shared" si="57"/>
        <v>2</v>
      </c>
      <c r="R125" s="220">
        <f>IF(T$121="Error","Error",IF(AND($P$121&lt;&gt;"/",$P$121&gt;Paramètres!$AX4),Paramètres!$AX5,"/"))</f>
        <v>3</v>
      </c>
      <c r="S125" s="195">
        <f>IF(R125&lt;&gt;"/",VLOOKUP(R125,COSTS_Hidden_Tesla[#All],2),"/")</f>
        <v>1500000</v>
      </c>
      <c r="T125" s="194">
        <f>IF(R125&lt;&gt;"/",VLOOKUP(R125,COSTS_Hidden_Tesla[#All],3),"/")</f>
        <v>144</v>
      </c>
      <c r="U125" s="195">
        <f t="shared" si="58"/>
        <v>3000000</v>
      </c>
      <c r="V125" s="221">
        <f t="shared" si="59"/>
        <v>288</v>
      </c>
    </row>
    <row r="126" spans="1:22" ht="15" customHeight="1" thickBot="1" x14ac:dyDescent="0.3">
      <c r="A126" s="272">
        <v>12</v>
      </c>
      <c r="B126" s="264" t="str">
        <f>IF(Paramètres!N16=0,"",Paramètres!N16)</f>
        <v/>
      </c>
      <c r="C126" s="265">
        <f t="shared" si="60"/>
        <v>5</v>
      </c>
      <c r="D126" s="227"/>
      <c r="E126" s="228"/>
      <c r="F126" s="243" t="str">
        <f t="shared" si="61"/>
        <v>/</v>
      </c>
      <c r="G126" s="241" t="str">
        <f>IF(I$113="Error","Error",IF(AND($E$113&lt;&gt;"/",$E$113&gt;Paramètres!$AX13),Paramètres!$AX14,"/"))</f>
        <v>/</v>
      </c>
      <c r="H126" s="244" t="str">
        <f>IF(G126&lt;&gt;"/",VLOOKUP(G126,COSTS_Cannon[#All],2),"/")</f>
        <v>/</v>
      </c>
      <c r="I126" s="233" t="str">
        <f>IF(G126&lt;&gt;"/",VLOOKUP(G126,COSTS_Cannon[#All],3),"/")</f>
        <v>/</v>
      </c>
      <c r="J126" s="244">
        <f t="shared" si="62"/>
        <v>0</v>
      </c>
      <c r="K126" s="242">
        <f t="shared" si="63"/>
        <v>0</v>
      </c>
      <c r="L126" s="266">
        <v>4</v>
      </c>
      <c r="M126" s="264" t="str">
        <f>IF(Paramètres!S8=0,"",Paramètres!S8)</f>
        <v/>
      </c>
      <c r="N126" s="265">
        <f t="shared" si="56"/>
        <v>2</v>
      </c>
      <c r="O126" s="227"/>
      <c r="P126" s="228"/>
      <c r="Q126" s="219" t="str">
        <f t="shared" si="57"/>
        <v>/</v>
      </c>
      <c r="R126" s="220" t="str">
        <f>IF(T$121="Error","Error",IF(AND($P$121&lt;&gt;"/",$P$121&gt;Paramètres!$AX5),Paramètres!$AX6,"/"))</f>
        <v>/</v>
      </c>
      <c r="S126" s="195" t="str">
        <f>IF(R126&lt;&gt;"/",VLOOKUP(R126,COSTS_Hidden_Tesla[#All],2),"/")</f>
        <v>/</v>
      </c>
      <c r="T126" s="194" t="str">
        <f>IF(R126&lt;&gt;"/",VLOOKUP(R126,COSTS_Hidden_Tesla[#All],3),"/")</f>
        <v>/</v>
      </c>
      <c r="U126" s="195">
        <f t="shared" si="58"/>
        <v>0</v>
      </c>
      <c r="V126" s="221">
        <f t="shared" si="59"/>
        <v>0</v>
      </c>
    </row>
    <row r="127" spans="1:22" ht="15" customHeight="1" thickBot="1" x14ac:dyDescent="0.3">
      <c r="A127" s="420"/>
      <c r="B127" s="421"/>
      <c r="C127" s="421"/>
      <c r="D127" s="421"/>
      <c r="E127" s="421"/>
      <c r="F127" s="422"/>
      <c r="G127" s="422"/>
      <c r="H127" s="423"/>
      <c r="I127" s="158" t="s">
        <v>15</v>
      </c>
      <c r="J127" s="251">
        <f>IF(I$113="Error","Error",SUM(J115:J126))</f>
        <v>0</v>
      </c>
      <c r="K127" s="252">
        <f>IF(I$113="Error","Error",SUM(K115:K126))</f>
        <v>0</v>
      </c>
      <c r="L127" s="266">
        <v>5</v>
      </c>
      <c r="M127" s="264" t="str">
        <f>IF(Paramètres!S9=0,"",Paramètres!S9)</f>
        <v/>
      </c>
      <c r="N127" s="265">
        <f t="shared" si="56"/>
        <v>2</v>
      </c>
      <c r="O127" s="227"/>
      <c r="P127" s="228"/>
      <c r="Q127" s="219" t="str">
        <f t="shared" si="57"/>
        <v>/</v>
      </c>
      <c r="R127" s="220" t="str">
        <f>IF(T$121="Error","Error",IF(AND($P$121&lt;&gt;"/",$P$121&gt;Paramètres!$AX6),Paramètres!$AX7,"/"))</f>
        <v>/</v>
      </c>
      <c r="S127" s="195" t="str">
        <f>IF(R127&lt;&gt;"/",VLOOKUP(R127,COSTS_Hidden_Tesla[#All],2),"/")</f>
        <v>/</v>
      </c>
      <c r="T127" s="194" t="str">
        <f>IF(R127&lt;&gt;"/",VLOOKUP(R127,COSTS_Hidden_Tesla[#All],3),"/")</f>
        <v>/</v>
      </c>
      <c r="U127" s="195">
        <f t="shared" si="58"/>
        <v>0</v>
      </c>
      <c r="V127" s="221">
        <f t="shared" si="59"/>
        <v>0</v>
      </c>
    </row>
    <row r="128" spans="1:22" ht="15" customHeight="1" x14ac:dyDescent="0.25">
      <c r="A128" s="414" t="s">
        <v>119</v>
      </c>
      <c r="B128" s="415"/>
      <c r="C128" s="416"/>
      <c r="D128" s="164" t="s">
        <v>16</v>
      </c>
      <c r="E128" s="165" t="s">
        <v>17</v>
      </c>
      <c r="F128" s="166"/>
      <c r="G128" s="167"/>
      <c r="H128" s="168"/>
      <c r="I128" s="164" t="s">
        <v>91</v>
      </c>
      <c r="J128" s="169" t="s">
        <v>90</v>
      </c>
      <c r="K128" s="165" t="s">
        <v>92</v>
      </c>
      <c r="L128" s="266">
        <v>6</v>
      </c>
      <c r="M128" s="264" t="str">
        <f>IF(Paramètres!S10=0,"",Paramètres!S10)</f>
        <v/>
      </c>
      <c r="N128" s="265">
        <f t="shared" si="56"/>
        <v>2</v>
      </c>
      <c r="O128" s="227"/>
      <c r="P128" s="228"/>
      <c r="Q128" s="219" t="str">
        <f t="shared" si="57"/>
        <v>/</v>
      </c>
      <c r="R128" s="220" t="str">
        <f>IF(T$121="Error","Error",IF(AND($P$121&lt;&gt;"/",$P$121&gt;Paramètres!$AX7),Paramètres!$AX8,"/"))</f>
        <v>/</v>
      </c>
      <c r="S128" s="195" t="str">
        <f>IF(R128&lt;&gt;"/",VLOOKUP(R128,COSTS_Hidden_Tesla[#All],2),"/")</f>
        <v>/</v>
      </c>
      <c r="T128" s="194" t="str">
        <f>IF(R128&lt;&gt;"/",VLOOKUP(R128,COSTS_Hidden_Tesla[#All],3),"/")</f>
        <v>/</v>
      </c>
      <c r="U128" s="195">
        <f t="shared" si="58"/>
        <v>0</v>
      </c>
      <c r="V128" s="221">
        <f t="shared" si="59"/>
        <v>0</v>
      </c>
    </row>
    <row r="129" spans="1:22" ht="15" customHeight="1" thickBot="1" x14ac:dyDescent="0.3">
      <c r="A129" s="417"/>
      <c r="B129" s="418"/>
      <c r="C129" s="419"/>
      <c r="D129" s="183">
        <f>VLOOKUP($A$1,AVAILABLE_Buildings_Defensive[#All],MATCH(A128,AVAILABLE_Buildings_Defensive[#Headers],0))</f>
        <v>4</v>
      </c>
      <c r="E129" s="184">
        <f>VLOOKUP($A$1,AVAILABLE_Buildings_Defensive[#All],MATCH(A128,AVAILABLE_Buildings_Defensive[#Headers],0)+1)</f>
        <v>8</v>
      </c>
      <c r="F129" s="185"/>
      <c r="G129" s="186"/>
      <c r="H129" s="187"/>
      <c r="I129" s="183">
        <f>IF(SUM(B131:B141)&gt;D129,"Error",SUM(B131:B141))</f>
        <v>4</v>
      </c>
      <c r="J129" s="188">
        <f>IF(I$129="Error","Error",D129-I129)</f>
        <v>0</v>
      </c>
      <c r="K129" s="189">
        <f>IF(I$129="Error","Error",SUM(F131:F141))</f>
        <v>0</v>
      </c>
      <c r="L129" s="266">
        <v>7</v>
      </c>
      <c r="M129" s="264" t="str">
        <f>IF(Paramètres!S11=0,"",Paramètres!S11)</f>
        <v/>
      </c>
      <c r="N129" s="265">
        <f t="shared" si="56"/>
        <v>2</v>
      </c>
      <c r="O129" s="227"/>
      <c r="P129" s="228"/>
      <c r="Q129" s="219" t="str">
        <f t="shared" si="57"/>
        <v>/</v>
      </c>
      <c r="R129" s="220" t="str">
        <f>IF(T$121="Error","Error",IF(AND($P$121&lt;&gt;"/",$P$121&gt;Paramètres!$AX8),Paramètres!$AX9,"/"))</f>
        <v>/</v>
      </c>
      <c r="S129" s="195" t="str">
        <f>IF(R129&lt;&gt;"/",VLOOKUP(R129,COSTS_Hidden_Tesla[#All],2),"/")</f>
        <v>/</v>
      </c>
      <c r="T129" s="194" t="str">
        <f>IF(R129&lt;&gt;"/",VLOOKUP(R129,COSTS_Hidden_Tesla[#All],3),"/")</f>
        <v>/</v>
      </c>
      <c r="U129" s="195">
        <f t="shared" si="58"/>
        <v>0</v>
      </c>
      <c r="V129" s="221">
        <f t="shared" si="59"/>
        <v>0</v>
      </c>
    </row>
    <row r="130" spans="1:22" ht="15" customHeight="1" thickBot="1" x14ac:dyDescent="0.3">
      <c r="A130" s="200" t="s">
        <v>14</v>
      </c>
      <c r="B130" s="262" t="s">
        <v>13</v>
      </c>
      <c r="C130" s="202"/>
      <c r="D130" s="202"/>
      <c r="E130" s="203"/>
      <c r="F130" s="208" t="s">
        <v>13</v>
      </c>
      <c r="G130" s="209" t="s">
        <v>14</v>
      </c>
      <c r="H130" s="206" t="s">
        <v>133</v>
      </c>
      <c r="I130" s="206" t="s">
        <v>134</v>
      </c>
      <c r="J130" s="206" t="s">
        <v>74</v>
      </c>
      <c r="K130" s="207" t="s">
        <v>75</v>
      </c>
      <c r="L130" s="420"/>
      <c r="M130" s="421"/>
      <c r="N130" s="421"/>
      <c r="O130" s="421"/>
      <c r="P130" s="421"/>
      <c r="Q130" s="421"/>
      <c r="R130" s="421"/>
      <c r="S130" s="424"/>
      <c r="T130" s="248" t="s">
        <v>15</v>
      </c>
      <c r="U130" s="249">
        <f>IF(T$121="Error","Error",SUM(U123:U129))</f>
        <v>5500000</v>
      </c>
      <c r="V130" s="250">
        <f>IF(T$121="Error","Error",SUM(V123:V129))</f>
        <v>480</v>
      </c>
    </row>
    <row r="131" spans="1:22" ht="15" customHeight="1" x14ac:dyDescent="0.25">
      <c r="A131" s="263">
        <v>1</v>
      </c>
      <c r="B131" s="264" t="str">
        <f>IF(Paramètres!O5=0,"",Paramètres!O5)</f>
        <v/>
      </c>
      <c r="C131" s="265">
        <f t="shared" ref="C131:C141" si="64">IF(C130&lt;&gt;0,C130+IF(AND(B130&lt;&gt;"",A130&lt;E$6),B130,0),IF(AND(B130&lt;&gt;"",A130&lt;E$6),B130,0))</f>
        <v>0</v>
      </c>
      <c r="D131" s="217"/>
      <c r="E131" s="218"/>
      <c r="F131" s="223">
        <f t="shared" ref="F131:F141" si="65">IF(G131&lt;&gt;"/",IF(I$129="Error","Error",$J$129+C131),"/")</f>
        <v>0</v>
      </c>
      <c r="G131" s="224">
        <f>IF(I$129="Error","Error",IF(AND($E$129&lt;&gt;"/",$E$129&gt;Paramètres!$AX2),Paramètres!$AX3,"/"))</f>
        <v>1</v>
      </c>
      <c r="H131" s="180">
        <f>IF(G131&lt;&gt;"/",VLOOKUP(G131,COSTS_Archer_Tower[#All],2),"/")</f>
        <v>1000</v>
      </c>
      <c r="I131" s="179">
        <f>IF(G131&lt;&gt;"/",VLOOKUP(G131,COSTS_Archer_Tower[#All],3),"/")</f>
        <v>0.25</v>
      </c>
      <c r="J131" s="180">
        <f t="shared" ref="J131:J141" si="66">IF(I$129="Error","Error",IF(H131&lt;&gt;"/",F131*H131,0))</f>
        <v>0</v>
      </c>
      <c r="K131" s="225">
        <f t="shared" ref="K131:K141" si="67">IF(I$129="Error","Error",IF(I131&lt;&gt;"/",F131*I131,0))</f>
        <v>0</v>
      </c>
      <c r="L131" s="414" t="s">
        <v>123</v>
      </c>
      <c r="M131" s="415"/>
      <c r="N131" s="416"/>
      <c r="O131" s="164" t="s">
        <v>16</v>
      </c>
      <c r="P131" s="165" t="s">
        <v>17</v>
      </c>
      <c r="Q131" s="166"/>
      <c r="R131" s="167"/>
      <c r="S131" s="168"/>
      <c r="T131" s="164" t="s">
        <v>91</v>
      </c>
      <c r="U131" s="169" t="s">
        <v>90</v>
      </c>
      <c r="V131" s="165" t="s">
        <v>92</v>
      </c>
    </row>
    <row r="132" spans="1:22" ht="15" customHeight="1" thickBot="1" x14ac:dyDescent="0.3">
      <c r="A132" s="266">
        <v>2</v>
      </c>
      <c r="B132" s="264" t="str">
        <f>IF(Paramètres!O6=0,"",Paramètres!O6)</f>
        <v/>
      </c>
      <c r="C132" s="265">
        <f t="shared" si="64"/>
        <v>0</v>
      </c>
      <c r="D132" s="227"/>
      <c r="E132" s="228"/>
      <c r="F132" s="219">
        <f t="shared" si="65"/>
        <v>0</v>
      </c>
      <c r="G132" s="220">
        <f>IF(I$129="Error","Error",IF(AND($E$129&lt;&gt;"/",$E$129&gt;Paramètres!$AX3),Paramètres!$AX4,"/"))</f>
        <v>2</v>
      </c>
      <c r="H132" s="193">
        <f>IF(G132&lt;&gt;"/",VLOOKUP(G132,COSTS_Archer_Tower[#All],2),"/")</f>
        <v>2000</v>
      </c>
      <c r="I132" s="194">
        <f>IF(G132&lt;&gt;"/",VLOOKUP(G132,COSTS_Archer_Tower[#All],3),"/")</f>
        <v>0.5</v>
      </c>
      <c r="J132" s="193">
        <f t="shared" si="66"/>
        <v>0</v>
      </c>
      <c r="K132" s="221">
        <f t="shared" si="67"/>
        <v>0</v>
      </c>
      <c r="L132" s="417"/>
      <c r="M132" s="418"/>
      <c r="N132" s="419"/>
      <c r="O132" s="183">
        <f>VLOOKUP($A$1,AVAILABLE_Buildings_Defensive[#All],MATCH(L131,AVAILABLE_Buildings_Defensive[#Headers],0))</f>
        <v>0</v>
      </c>
      <c r="P132" s="184">
        <f>VLOOKUP($A$1,AVAILABLE_Buildings_Defensive[#All],MATCH(L131,AVAILABLE_Buildings_Defensive[#Headers],0)+1)</f>
        <v>0</v>
      </c>
      <c r="Q132" s="185"/>
      <c r="R132" s="186"/>
      <c r="S132" s="187"/>
      <c r="T132" s="183">
        <f>IF(SUM(M134:M137)&gt;O132,"Error",SUM(M134:M137))</f>
        <v>0</v>
      </c>
      <c r="U132" s="188">
        <f>IF(T$132="Error","Error",O132-T132)</f>
        <v>0</v>
      </c>
      <c r="V132" s="189">
        <f>IF(T$132="Error","Error",SUM(Q134:Q137))</f>
        <v>0</v>
      </c>
    </row>
    <row r="133" spans="1:22" ht="15" customHeight="1" thickBot="1" x14ac:dyDescent="0.3">
      <c r="A133" s="266">
        <v>3</v>
      </c>
      <c r="B133" s="264" t="str">
        <f>IF(Paramètres!O7=0,"",Paramètres!O7)</f>
        <v/>
      </c>
      <c r="C133" s="265">
        <f t="shared" si="64"/>
        <v>0</v>
      </c>
      <c r="D133" s="227"/>
      <c r="E133" s="228"/>
      <c r="F133" s="219">
        <f t="shared" si="65"/>
        <v>0</v>
      </c>
      <c r="G133" s="220">
        <f>IF(I$129="Error","Error",IF(AND($E$129&lt;&gt;"/",$E$129&gt;Paramètres!$AX4),Paramètres!$AX5,"/"))</f>
        <v>3</v>
      </c>
      <c r="H133" s="193">
        <f>IF(G133&lt;&gt;"/",VLOOKUP(G133,COSTS_Archer_Tower[#All],2),"/")</f>
        <v>5000</v>
      </c>
      <c r="I133" s="194">
        <f>IF(G133&lt;&gt;"/",VLOOKUP(G133,COSTS_Archer_Tower[#All],3),"/")</f>
        <v>0.75</v>
      </c>
      <c r="J133" s="193">
        <f t="shared" si="66"/>
        <v>0</v>
      </c>
      <c r="K133" s="221">
        <f t="shared" si="67"/>
        <v>0</v>
      </c>
      <c r="L133" s="200" t="s">
        <v>14</v>
      </c>
      <c r="M133" s="262" t="s">
        <v>13</v>
      </c>
      <c r="N133" s="202"/>
      <c r="O133" s="202"/>
      <c r="P133" s="203"/>
      <c r="Q133" s="204" t="s">
        <v>13</v>
      </c>
      <c r="R133" s="205" t="s">
        <v>14</v>
      </c>
      <c r="S133" s="206" t="s">
        <v>133</v>
      </c>
      <c r="T133" s="206" t="s">
        <v>134</v>
      </c>
      <c r="U133" s="206" t="s">
        <v>74</v>
      </c>
      <c r="V133" s="207" t="s">
        <v>75</v>
      </c>
    </row>
    <row r="134" spans="1:22" ht="15" customHeight="1" x14ac:dyDescent="0.25">
      <c r="A134" s="266">
        <v>4</v>
      </c>
      <c r="B134" s="264" t="str">
        <f>IF(Paramètres!O8=0,"",Paramètres!O8)</f>
        <v/>
      </c>
      <c r="C134" s="265">
        <f t="shared" si="64"/>
        <v>0</v>
      </c>
      <c r="D134" s="227"/>
      <c r="E134" s="228"/>
      <c r="F134" s="219">
        <f t="shared" si="65"/>
        <v>0</v>
      </c>
      <c r="G134" s="220">
        <f>IF(I$129="Error","Error",IF(AND($E$129&lt;&gt;"/",$E$129&gt;Paramètres!$AX5),Paramètres!$AX6,"/"))</f>
        <v>4</v>
      </c>
      <c r="H134" s="193">
        <f>IF(G134&lt;&gt;"/",VLOOKUP(G134,COSTS_Archer_Tower[#All],2),"/")</f>
        <v>20000</v>
      </c>
      <c r="I134" s="194">
        <f>IF(G134&lt;&gt;"/",VLOOKUP(G134,COSTS_Archer_Tower[#All],3),"/")</f>
        <v>4</v>
      </c>
      <c r="J134" s="193">
        <f t="shared" si="66"/>
        <v>0</v>
      </c>
      <c r="K134" s="221">
        <f t="shared" si="67"/>
        <v>0</v>
      </c>
      <c r="L134" s="263">
        <v>1</v>
      </c>
      <c r="M134" s="264" t="str">
        <f>IF(Paramètres!T5=0,"",Paramètres!T5)</f>
        <v/>
      </c>
      <c r="N134" s="265">
        <f>IF(N133&lt;&gt;0,N133+IF(AND(M133&lt;&gt;"",L133&lt;P$6),M133,0),IF(AND(M133&lt;&gt;"",L133&lt;P$6),M133,0))</f>
        <v>0</v>
      </c>
      <c r="O134" s="217"/>
      <c r="P134" s="218"/>
      <c r="Q134" s="219" t="str">
        <f>IF(R134&lt;&gt;"/",IF(T$132="Error","Error",$U$132+N134),"/")</f>
        <v>/</v>
      </c>
      <c r="R134" s="220" t="str">
        <f>IF(T$132="Error","Error",IF(AND($P$132&lt;&gt;"/",$P$132&gt;Paramètres!$AX2),Paramètres!$AX3,"/"))</f>
        <v>/</v>
      </c>
      <c r="S134" s="193" t="str">
        <f>IF(R134&lt;&gt;"/",VLOOKUP(R134,COSTS_XBow[#All],2),"/")</f>
        <v>/</v>
      </c>
      <c r="T134" s="194" t="str">
        <f>IF(R134&lt;&gt;"/",VLOOKUP(R134,COSTS_XBow[#All],3),"/")</f>
        <v>/</v>
      </c>
      <c r="U134" s="193">
        <f>IF(T$132="Error","Error",IF(S134&lt;&gt;"/",Q134*S134,0))</f>
        <v>0</v>
      </c>
      <c r="V134" s="221">
        <f>IF(T$132="Error","Error",IF(T134&lt;&gt;"/",Q134*T134,0))</f>
        <v>0</v>
      </c>
    </row>
    <row r="135" spans="1:22" ht="15" customHeight="1" x14ac:dyDescent="0.25">
      <c r="A135" s="266">
        <v>5</v>
      </c>
      <c r="B135" s="264" t="str">
        <f>IF(Paramètres!O9=0,"",Paramètres!O9)</f>
        <v/>
      </c>
      <c r="C135" s="265">
        <f t="shared" si="64"/>
        <v>0</v>
      </c>
      <c r="D135" s="227"/>
      <c r="E135" s="228"/>
      <c r="F135" s="219">
        <f t="shared" si="65"/>
        <v>0</v>
      </c>
      <c r="G135" s="220">
        <f>IF(I$129="Error","Error",IF(AND($E$129&lt;&gt;"/",$E$129&gt;Paramètres!$AX6),Paramètres!$AX7,"/"))</f>
        <v>5</v>
      </c>
      <c r="H135" s="193">
        <f>IF(G135&lt;&gt;"/",VLOOKUP(G135,COSTS_Archer_Tower[#All],2),"/")</f>
        <v>80000</v>
      </c>
      <c r="I135" s="194">
        <f>IF(G135&lt;&gt;"/",VLOOKUP(G135,COSTS_Archer_Tower[#All],3),"/")</f>
        <v>12</v>
      </c>
      <c r="J135" s="193">
        <f t="shared" si="66"/>
        <v>0</v>
      </c>
      <c r="K135" s="221">
        <f t="shared" si="67"/>
        <v>0</v>
      </c>
      <c r="L135" s="266">
        <v>2</v>
      </c>
      <c r="M135" s="264" t="str">
        <f>IF(Paramètres!T6=0,"",Paramètres!T6)</f>
        <v/>
      </c>
      <c r="N135" s="265">
        <f>IF(N134&lt;&gt;0,N134+IF(AND(M134&lt;&gt;"",L134&lt;P$6),M134,0),IF(AND(M134&lt;&gt;"",L134&lt;P$6),M134,0))</f>
        <v>0</v>
      </c>
      <c r="O135" s="227"/>
      <c r="P135" s="228"/>
      <c r="Q135" s="219" t="str">
        <f>IF(R135&lt;&gt;"/",IF(T$132="Error","Error",$U$132+N135),"/")</f>
        <v>/</v>
      </c>
      <c r="R135" s="220" t="str">
        <f>IF(T$132="Error","Error",IF(AND($P$132&lt;&gt;"/",$P$132&gt;Paramètres!$AX3),Paramètres!$AX4,"/"))</f>
        <v>/</v>
      </c>
      <c r="S135" s="193" t="str">
        <f>IF(R135&lt;&gt;"/",VLOOKUP(R135,COSTS_XBow[#All],2),"/")</f>
        <v>/</v>
      </c>
      <c r="T135" s="194" t="str">
        <f>IF(R135&lt;&gt;"/",VLOOKUP(R135,COSTS_XBow[#All],3),"/")</f>
        <v>/</v>
      </c>
      <c r="U135" s="193">
        <f>IF(T$132="Error","Error",IF(S135&lt;&gt;"/",Q135*S135,0))</f>
        <v>0</v>
      </c>
      <c r="V135" s="221">
        <f>IF(T$132="Error","Error",IF(T135&lt;&gt;"/",Q135*T135,0))</f>
        <v>0</v>
      </c>
    </row>
    <row r="136" spans="1:22" ht="15" customHeight="1" x14ac:dyDescent="0.25">
      <c r="A136" s="266">
        <v>6</v>
      </c>
      <c r="B136" s="264" t="str">
        <f>IF(Paramètres!O10=0,"",Paramètres!O10)</f>
        <v/>
      </c>
      <c r="C136" s="265">
        <f t="shared" si="64"/>
        <v>0</v>
      </c>
      <c r="D136" s="227"/>
      <c r="E136" s="228"/>
      <c r="F136" s="219">
        <f t="shared" si="65"/>
        <v>0</v>
      </c>
      <c r="G136" s="220">
        <f>IF(I$129="Error","Error",IF(AND($E$129&lt;&gt;"/",$E$129&gt;Paramètres!$AX7),Paramètres!$AX8,"/"))</f>
        <v>6</v>
      </c>
      <c r="H136" s="193">
        <f>IF(G136&lt;&gt;"/",VLOOKUP(G136,COSTS_Archer_Tower[#All],2),"/")</f>
        <v>180000</v>
      </c>
      <c r="I136" s="194">
        <f>IF(G136&lt;&gt;"/",VLOOKUP(G136,COSTS_Archer_Tower[#All],3),"/")</f>
        <v>24</v>
      </c>
      <c r="J136" s="193">
        <f t="shared" si="66"/>
        <v>0</v>
      </c>
      <c r="K136" s="221">
        <f t="shared" si="67"/>
        <v>0</v>
      </c>
      <c r="L136" s="266">
        <v>3</v>
      </c>
      <c r="M136" s="264" t="str">
        <f>IF(Paramètres!T7=0,"",Paramètres!T7)</f>
        <v/>
      </c>
      <c r="N136" s="265">
        <f>IF(N135&lt;&gt;0,N135+IF(AND(M135&lt;&gt;"",L135&lt;P$6),M135,0),IF(AND(M135&lt;&gt;"",L135&lt;P$6),M135,0))</f>
        <v>0</v>
      </c>
      <c r="O136" s="227"/>
      <c r="P136" s="228"/>
      <c r="Q136" s="219" t="str">
        <f>IF(R136&lt;&gt;"/",IF(T$132="Error","Error",$U$132+N136),"/")</f>
        <v>/</v>
      </c>
      <c r="R136" s="220" t="str">
        <f>IF(T$132="Error","Error",IF(AND($P$132&lt;&gt;"/",$P$132&gt;Paramètres!$AX4),Paramètres!$AX5,"/"))</f>
        <v>/</v>
      </c>
      <c r="S136" s="193" t="str">
        <f>IF(R136&lt;&gt;"/",VLOOKUP(R136,COSTS_XBow[#All],2),"/")</f>
        <v>/</v>
      </c>
      <c r="T136" s="194" t="str">
        <f>IF(R136&lt;&gt;"/",VLOOKUP(R136,COSTS_XBow[#All],3),"/")</f>
        <v>/</v>
      </c>
      <c r="U136" s="193">
        <f>IF(T$132="Error","Error",IF(S136&lt;&gt;"/",Q136*S136,0))</f>
        <v>0</v>
      </c>
      <c r="V136" s="221">
        <f>IF(T$132="Error","Error",IF(T136&lt;&gt;"/",Q136*T136,0))</f>
        <v>0</v>
      </c>
    </row>
    <row r="137" spans="1:22" ht="15" customHeight="1" thickBot="1" x14ac:dyDescent="0.3">
      <c r="A137" s="266">
        <v>7</v>
      </c>
      <c r="B137" s="264" t="str">
        <f>IF(Paramètres!O11=0,"",Paramètres!O11)</f>
        <v/>
      </c>
      <c r="C137" s="265">
        <f t="shared" si="64"/>
        <v>0</v>
      </c>
      <c r="D137" s="227"/>
      <c r="E137" s="228"/>
      <c r="F137" s="219">
        <f t="shared" si="65"/>
        <v>0</v>
      </c>
      <c r="G137" s="220">
        <f>IF(I$129="Error","Error",IF(AND($E$129&lt;&gt;"/",$E$129&gt;Paramètres!$AX8),Paramètres!$AX9,"/"))</f>
        <v>7</v>
      </c>
      <c r="H137" s="193">
        <f>IF(G137&lt;&gt;"/",VLOOKUP(G137,COSTS_Archer_Tower[#All],2),"/")</f>
        <v>360000</v>
      </c>
      <c r="I137" s="194">
        <f>IF(G137&lt;&gt;"/",VLOOKUP(G137,COSTS_Archer_Tower[#All],3),"/")</f>
        <v>72</v>
      </c>
      <c r="J137" s="193">
        <f t="shared" si="66"/>
        <v>0</v>
      </c>
      <c r="K137" s="221">
        <f t="shared" si="67"/>
        <v>0</v>
      </c>
      <c r="L137" s="266">
        <v>4</v>
      </c>
      <c r="M137" s="264" t="str">
        <f>IF(Paramètres!T8=0,"",Paramètres!T8)</f>
        <v/>
      </c>
      <c r="N137" s="265">
        <f>IF(N136&lt;&gt;0,N136+IF(AND(M136&lt;&gt;"",L136&lt;P$6),M136,0),IF(AND(M136&lt;&gt;"",L136&lt;P$6),M136,0))</f>
        <v>0</v>
      </c>
      <c r="O137" s="227"/>
      <c r="P137" s="228"/>
      <c r="Q137" s="219" t="str">
        <f>IF(R137&lt;&gt;"/",IF(T$132="Error","Error",$U$132+N137),"/")</f>
        <v>/</v>
      </c>
      <c r="R137" s="220" t="str">
        <f>IF(T$132="Error","Error",IF(AND($P$132&lt;&gt;"/",$P$132&gt;Paramètres!$AX5),Paramètres!$AX6,"/"))</f>
        <v>/</v>
      </c>
      <c r="S137" s="193" t="str">
        <f>IF(R137&lt;&gt;"/",VLOOKUP(R137,COSTS_XBow[#All],2),"/")</f>
        <v>/</v>
      </c>
      <c r="T137" s="194" t="str">
        <f>IF(R137&lt;&gt;"/",VLOOKUP(R137,COSTS_XBow[#All],3),"/")</f>
        <v>/</v>
      </c>
      <c r="U137" s="193">
        <f>IF(T$132="Error","Error",IF(S137&lt;&gt;"/",Q137*S137,0))</f>
        <v>0</v>
      </c>
      <c r="V137" s="221">
        <f>IF(T$132="Error","Error",IF(T137&lt;&gt;"/",Q137*T137,0))</f>
        <v>0</v>
      </c>
    </row>
    <row r="138" spans="1:22" ht="15" customHeight="1" thickBot="1" x14ac:dyDescent="0.3">
      <c r="A138" s="266">
        <v>8</v>
      </c>
      <c r="B138" s="264">
        <f>IF(Paramètres!O12=0,"",Paramètres!O12)</f>
        <v>4</v>
      </c>
      <c r="C138" s="265">
        <f t="shared" si="64"/>
        <v>0</v>
      </c>
      <c r="D138" s="227"/>
      <c r="E138" s="228"/>
      <c r="F138" s="219">
        <f t="shared" si="65"/>
        <v>0</v>
      </c>
      <c r="G138" s="220">
        <f>IF(I$129="Error","Error",IF(AND($E$129&lt;&gt;"/",$E$129&gt;Paramètres!$AX9),Paramètres!$AX10,"/"))</f>
        <v>8</v>
      </c>
      <c r="H138" s="193">
        <f>IF(G138&lt;&gt;"/",VLOOKUP(G138,COSTS_Archer_Tower[#All],2),"/")</f>
        <v>720000</v>
      </c>
      <c r="I138" s="194">
        <f>IF(G138&lt;&gt;"/",VLOOKUP(G138,COSTS_Archer_Tower[#All],3),"/")</f>
        <v>96</v>
      </c>
      <c r="J138" s="193">
        <f t="shared" si="66"/>
        <v>0</v>
      </c>
      <c r="K138" s="221">
        <f t="shared" si="67"/>
        <v>0</v>
      </c>
      <c r="L138" s="420"/>
      <c r="M138" s="421"/>
      <c r="N138" s="421"/>
      <c r="O138" s="421"/>
      <c r="P138" s="421"/>
      <c r="Q138" s="421"/>
      <c r="R138" s="421"/>
      <c r="S138" s="424"/>
      <c r="T138" s="248" t="s">
        <v>15</v>
      </c>
      <c r="U138" s="270">
        <f>IF(T$132="Error","Error",SUM(U134:U137))</f>
        <v>0</v>
      </c>
      <c r="V138" s="250">
        <f>IF(T$132="Error","Error",SUM(V134:V137))</f>
        <v>0</v>
      </c>
    </row>
    <row r="139" spans="1:22" ht="15" customHeight="1" x14ac:dyDescent="0.25">
      <c r="A139" s="266">
        <v>9</v>
      </c>
      <c r="B139" s="264" t="str">
        <f>IF(Paramètres!O13=0,"",Paramètres!O13)</f>
        <v/>
      </c>
      <c r="C139" s="265">
        <f t="shared" si="64"/>
        <v>4</v>
      </c>
      <c r="D139" s="227"/>
      <c r="E139" s="228"/>
      <c r="F139" s="219" t="str">
        <f t="shared" si="65"/>
        <v>/</v>
      </c>
      <c r="G139" s="220" t="str">
        <f>IF(I$129="Error","Error",IF(AND($E$129&lt;&gt;"/",$E$129&gt;Paramètres!$AX10),Paramètres!$AX11,"/"))</f>
        <v>/</v>
      </c>
      <c r="H139" s="193" t="str">
        <f>IF(G139&lt;&gt;"/",VLOOKUP(G139,COSTS_Archer_Tower[#All],2),"/")</f>
        <v>/</v>
      </c>
      <c r="I139" s="194" t="str">
        <f>IF(G139&lt;&gt;"/",VLOOKUP(G139,COSTS_Archer_Tower[#All],3),"/")</f>
        <v>/</v>
      </c>
      <c r="J139" s="193">
        <f t="shared" si="66"/>
        <v>0</v>
      </c>
      <c r="K139" s="221">
        <f t="shared" si="67"/>
        <v>0</v>
      </c>
      <c r="L139" s="414" t="s">
        <v>154</v>
      </c>
      <c r="M139" s="415"/>
      <c r="N139" s="416"/>
      <c r="O139" s="164" t="s">
        <v>16</v>
      </c>
      <c r="P139" s="165" t="s">
        <v>17</v>
      </c>
      <c r="Q139" s="166"/>
      <c r="R139" s="167"/>
      <c r="S139" s="168"/>
      <c r="T139" s="164" t="s">
        <v>91</v>
      </c>
      <c r="U139" s="169" t="s">
        <v>90</v>
      </c>
      <c r="V139" s="165" t="s">
        <v>92</v>
      </c>
    </row>
    <row r="140" spans="1:22" ht="15" customHeight="1" thickBot="1" x14ac:dyDescent="0.3">
      <c r="A140" s="266">
        <v>10</v>
      </c>
      <c r="B140" s="264" t="str">
        <f>IF(Paramètres!O14=0,"",Paramètres!O14)</f>
        <v/>
      </c>
      <c r="C140" s="265">
        <f t="shared" si="64"/>
        <v>4</v>
      </c>
      <c r="D140" s="227"/>
      <c r="E140" s="228"/>
      <c r="F140" s="219" t="str">
        <f t="shared" si="65"/>
        <v>/</v>
      </c>
      <c r="G140" s="220" t="str">
        <f>IF(I$129="Error","Error",IF(AND($E$129&lt;&gt;"/",$E$129&gt;Paramètres!$AX11),Paramètres!$AX12,"/"))</f>
        <v>/</v>
      </c>
      <c r="H140" s="193" t="str">
        <f>IF(G140&lt;&gt;"/",VLOOKUP(G140,COSTS_Archer_Tower[#All],2),"/")</f>
        <v>/</v>
      </c>
      <c r="I140" s="194" t="str">
        <f>IF(G140&lt;&gt;"/",VLOOKUP(G140,COSTS_Archer_Tower[#All],3),"/")</f>
        <v>/</v>
      </c>
      <c r="J140" s="193">
        <f t="shared" si="66"/>
        <v>0</v>
      </c>
      <c r="K140" s="221">
        <f t="shared" si="67"/>
        <v>0</v>
      </c>
      <c r="L140" s="417"/>
      <c r="M140" s="418"/>
      <c r="N140" s="419"/>
      <c r="O140" s="183">
        <f>VLOOKUP($A$1,AVAILABLE_Buildings_Defensive[#All],MATCH(L139,AVAILABLE_Buildings_Defensive[#Headers],0))</f>
        <v>0</v>
      </c>
      <c r="P140" s="184">
        <f>VLOOKUP($A$1,AVAILABLE_Buildings_Defensive[#All],MATCH(L139,AVAILABLE_Buildings_Defensive[#Headers],0)+1)</f>
        <v>0</v>
      </c>
      <c r="Q140" s="185"/>
      <c r="R140" s="186"/>
      <c r="S140" s="187"/>
      <c r="T140" s="183">
        <f>IF(SUM(M142:M143)&gt;O140,"Error",SUM(M142:M143))</f>
        <v>0</v>
      </c>
      <c r="U140" s="188">
        <f>IF(T$140="Error","Error",O140-T140)</f>
        <v>0</v>
      </c>
      <c r="V140" s="189">
        <f>IF(T$140="Error","Error",SUM(Q142:Q143))</f>
        <v>0</v>
      </c>
    </row>
    <row r="141" spans="1:22" ht="15" customHeight="1" thickBot="1" x14ac:dyDescent="0.3">
      <c r="A141" s="272">
        <v>11</v>
      </c>
      <c r="B141" s="264" t="str">
        <f>IF(Paramètres!O15=0,"",Paramètres!O15)</f>
        <v/>
      </c>
      <c r="C141" s="273">
        <f t="shared" si="64"/>
        <v>4</v>
      </c>
      <c r="D141" s="239"/>
      <c r="E141" s="240"/>
      <c r="F141" s="243" t="str">
        <f t="shared" si="65"/>
        <v>/</v>
      </c>
      <c r="G141" s="241" t="str">
        <f>IF(I$129="Error","Error",IF(AND($E$129&lt;&gt;"/",$E$129&gt;Paramètres!$AX12),Paramètres!$AX13,"/"))</f>
        <v>/</v>
      </c>
      <c r="H141" s="244" t="str">
        <f>IF(G141&lt;&gt;"/",VLOOKUP(G141,COSTS_Archer_Tower[#All],2),"/")</f>
        <v>/</v>
      </c>
      <c r="I141" s="233" t="str">
        <f>IF(G141&lt;&gt;"/",VLOOKUP(G141,COSTS_Archer_Tower[#All],3),"/")</f>
        <v>/</v>
      </c>
      <c r="J141" s="244">
        <f t="shared" si="66"/>
        <v>0</v>
      </c>
      <c r="K141" s="242">
        <f t="shared" si="67"/>
        <v>0</v>
      </c>
      <c r="L141" s="200" t="s">
        <v>14</v>
      </c>
      <c r="M141" s="262" t="s">
        <v>13</v>
      </c>
      <c r="N141" s="202"/>
      <c r="O141" s="202"/>
      <c r="P141" s="203"/>
      <c r="Q141" s="204" t="s">
        <v>13</v>
      </c>
      <c r="R141" s="205" t="s">
        <v>14</v>
      </c>
      <c r="S141" s="206" t="s">
        <v>133</v>
      </c>
      <c r="T141" s="206" t="s">
        <v>134</v>
      </c>
      <c r="U141" s="206" t="s">
        <v>74</v>
      </c>
      <c r="V141" s="207" t="s">
        <v>75</v>
      </c>
    </row>
    <row r="142" spans="1:22" ht="15" customHeight="1" thickBot="1" x14ac:dyDescent="0.3">
      <c r="A142" s="420"/>
      <c r="B142" s="421"/>
      <c r="C142" s="421"/>
      <c r="D142" s="421"/>
      <c r="E142" s="421"/>
      <c r="F142" s="422"/>
      <c r="G142" s="422"/>
      <c r="H142" s="423"/>
      <c r="I142" s="158" t="s">
        <v>15</v>
      </c>
      <c r="J142" s="251">
        <f>IF(I$129="Error","Error",SUM(J131:J141))</f>
        <v>0</v>
      </c>
      <c r="K142" s="252">
        <f>IF(I$129="Error","Error",SUM(K131:K141))</f>
        <v>0</v>
      </c>
      <c r="L142" s="263">
        <v>1</v>
      </c>
      <c r="M142" s="264" t="str">
        <f>IF(Paramètres!U5=0,"",Paramètres!U5)</f>
        <v/>
      </c>
      <c r="N142" s="265">
        <f>IF(N141&lt;&gt;0,N141+IF(AND(M141&lt;&gt;"",L141&lt;P$6),M141,0),IF(AND(M141&lt;&gt;"",L141&lt;P$6),M141,0))</f>
        <v>0</v>
      </c>
      <c r="O142" s="217"/>
      <c r="P142" s="218"/>
      <c r="Q142" s="219" t="str">
        <f>IF(R142&lt;&gt;"/",IF(T$140="Error","Error",$U$140+N142),"/")</f>
        <v>/</v>
      </c>
      <c r="R142" s="220" t="str">
        <f>IF(T$140="Error","Error",IF(AND($P$140&lt;&gt;"/",$P$140&gt;Paramètres!$AX2),Paramètres!$AX3,"/"))</f>
        <v>/</v>
      </c>
      <c r="S142" s="193" t="str">
        <f>IF(R142&lt;&gt;"/",VLOOKUP(R142,COSTS_Inferno_Tower[#All],2),"/")</f>
        <v>/</v>
      </c>
      <c r="T142" s="194" t="str">
        <f>IF(R142&lt;&gt;"/",VLOOKUP(R142,COSTS_Inferno_Tower[#All],3),"/")</f>
        <v>/</v>
      </c>
      <c r="U142" s="193">
        <f>IF(T$140="Error","Error",IF(S142&lt;&gt;"/",Q142*S142,0))</f>
        <v>0</v>
      </c>
      <c r="V142" s="221">
        <f>IF(T$140="Error","Error",IF(T142&lt;&gt;"/",Q142*T142,0))</f>
        <v>0</v>
      </c>
    </row>
    <row r="143" spans="1:22" ht="15" customHeight="1" thickBot="1" x14ac:dyDescent="0.3">
      <c r="A143" s="414" t="s">
        <v>118</v>
      </c>
      <c r="B143" s="415"/>
      <c r="C143" s="416"/>
      <c r="D143" s="164" t="s">
        <v>16</v>
      </c>
      <c r="E143" s="165" t="s">
        <v>17</v>
      </c>
      <c r="F143" s="166"/>
      <c r="G143" s="167"/>
      <c r="H143" s="168"/>
      <c r="I143" s="164" t="s">
        <v>91</v>
      </c>
      <c r="J143" s="169" t="s">
        <v>90</v>
      </c>
      <c r="K143" s="165" t="s">
        <v>92</v>
      </c>
      <c r="L143" s="266">
        <v>2</v>
      </c>
      <c r="M143" s="264" t="str">
        <f>IF(Paramètres!U6=0,"",Paramètres!U6)</f>
        <v/>
      </c>
      <c r="N143" s="265">
        <f>IF(N142&lt;&gt;0,N142+IF(AND(M142&lt;&gt;"",L142&lt;P$6),M142,0),IF(AND(M142&lt;&gt;"",L142&lt;P$6),M142,0))</f>
        <v>0</v>
      </c>
      <c r="O143" s="227"/>
      <c r="P143" s="228"/>
      <c r="Q143" s="219" t="str">
        <f>IF(R143&lt;&gt;"/",IF(T$140="Error","Error",$U$140+N143),"/")</f>
        <v>/</v>
      </c>
      <c r="R143" s="220" t="str">
        <f>IF(T$140="Error","Error",IF(AND($P$140&lt;&gt;"/",$P$140&gt;Paramètres!$AX3),Paramètres!$AX4,"/"))</f>
        <v>/</v>
      </c>
      <c r="S143" s="193" t="str">
        <f>IF(R143&lt;&gt;"/",VLOOKUP(R143,COSTS_Inferno_Tower[#All],2),"/")</f>
        <v>/</v>
      </c>
      <c r="T143" s="194" t="str">
        <f>IF(R143&lt;&gt;"/",VLOOKUP(R143,COSTS_Inferno_Tower[#All],3),"/")</f>
        <v>/</v>
      </c>
      <c r="U143" s="193">
        <f>IF(T$140="Error","Error",IF(S143&lt;&gt;"/",Q143*S143,0))</f>
        <v>0</v>
      </c>
      <c r="V143" s="221">
        <f>IF(T$140="Error","Error",IF(T143&lt;&gt;"/",Q143*T143,0))</f>
        <v>0</v>
      </c>
    </row>
    <row r="144" spans="1:22" ht="15" customHeight="1" thickBot="1" x14ac:dyDescent="0.3">
      <c r="A144" s="417"/>
      <c r="B144" s="418"/>
      <c r="C144" s="419"/>
      <c r="D144" s="183">
        <f>VLOOKUP($A$1,AVAILABLE_Buildings_Defensive[#All],MATCH(A143,AVAILABLE_Buildings_Defensive[#Headers],0))</f>
        <v>3</v>
      </c>
      <c r="E144" s="184">
        <f>VLOOKUP($A$1,AVAILABLE_Buildings_Defensive[#All],MATCH(A143,AVAILABLE_Buildings_Defensive[#Headers],0)+1)</f>
        <v>5</v>
      </c>
      <c r="F144" s="185"/>
      <c r="G144" s="186"/>
      <c r="H144" s="187"/>
      <c r="I144" s="183">
        <f>IF(SUM(B146:B152)&gt;D144,"Error",SUM(B146:B152))</f>
        <v>3</v>
      </c>
      <c r="J144" s="188">
        <f>IF(I$144="Error","Error",D144-I144)</f>
        <v>0</v>
      </c>
      <c r="K144" s="189">
        <f>IF(I$144="Error","Error",SUM(F146:F152))</f>
        <v>1</v>
      </c>
      <c r="L144" s="420"/>
      <c r="M144" s="421"/>
      <c r="N144" s="421"/>
      <c r="O144" s="421"/>
      <c r="P144" s="421"/>
      <c r="Q144" s="421"/>
      <c r="R144" s="421"/>
      <c r="S144" s="424"/>
      <c r="T144" s="248" t="s">
        <v>15</v>
      </c>
      <c r="U144" s="270">
        <f>IF(T$132="Error","Error",SUM(U142:U143))</f>
        <v>0</v>
      </c>
      <c r="V144" s="250">
        <f>IF(T$132="Error","Error",SUM(V142:V143))</f>
        <v>0</v>
      </c>
    </row>
    <row r="145" spans="1:22" ht="15" customHeight="1" thickBot="1" x14ac:dyDescent="0.3">
      <c r="A145" s="200" t="s">
        <v>14</v>
      </c>
      <c r="B145" s="262" t="s">
        <v>13</v>
      </c>
      <c r="C145" s="202"/>
      <c r="D145" s="202"/>
      <c r="E145" s="203"/>
      <c r="F145" s="208" t="s">
        <v>13</v>
      </c>
      <c r="G145" s="209" t="s">
        <v>14</v>
      </c>
      <c r="H145" s="206" t="s">
        <v>133</v>
      </c>
      <c r="I145" s="206" t="s">
        <v>134</v>
      </c>
      <c r="J145" s="206" t="s">
        <v>74</v>
      </c>
      <c r="K145" s="207" t="s">
        <v>75</v>
      </c>
    </row>
    <row r="146" spans="1:22" ht="15" customHeight="1" x14ac:dyDescent="0.25">
      <c r="A146" s="263">
        <v>1</v>
      </c>
      <c r="B146" s="264" t="str">
        <f>IF(Paramètres!P5=0,"",Paramètres!P5)</f>
        <v/>
      </c>
      <c r="C146" s="265">
        <f t="shared" ref="C146:C152" si="68">IF(C145&lt;&gt;0,C145+IF(AND(B145&lt;&gt;"",A145&lt;E$6),B145,0),IF(AND(B145&lt;&gt;"",A145&lt;E$6),B145,0))</f>
        <v>0</v>
      </c>
      <c r="D146" s="217"/>
      <c r="E146" s="218"/>
      <c r="F146" s="223">
        <f t="shared" ref="F146:F152" si="69">IF(G146&lt;&gt;"/",IF(I$144="Error","Error",$J$144+C146),"/")</f>
        <v>0</v>
      </c>
      <c r="G146" s="224">
        <f>IF(I$144="Error","Error",IF(AND($E$144&lt;&gt;"/",$E$144&gt;Paramètres!$AX2),Paramètres!$AX3,"/"))</f>
        <v>1</v>
      </c>
      <c r="H146" s="180">
        <f>IF(G146&lt;&gt;"/",VLOOKUP(G146,COSTS_Mortar[#All],2),"/")</f>
        <v>8000</v>
      </c>
      <c r="I146" s="179">
        <f>IF(G146&lt;&gt;"/",VLOOKUP(G146,COSTS_Mortar[#All],3),"/")</f>
        <v>8</v>
      </c>
      <c r="J146" s="180">
        <f t="shared" ref="J146:J152" si="70">IF(I$144="Error","Error",IF(H146&lt;&gt;"/",F146*H146,0))</f>
        <v>0</v>
      </c>
      <c r="K146" s="225">
        <f t="shared" ref="K146:K152" si="71">IF(I$144="Error","Error",IF(I146&lt;&gt;"/",F146*I146,0))</f>
        <v>0</v>
      </c>
    </row>
    <row r="147" spans="1:22" ht="15" customHeight="1" x14ac:dyDescent="0.25">
      <c r="A147" s="266">
        <v>2</v>
      </c>
      <c r="B147" s="264" t="str">
        <f>IF(Paramètres!P6=0,"",Paramètres!P6)</f>
        <v/>
      </c>
      <c r="C147" s="265">
        <f t="shared" si="68"/>
        <v>0</v>
      </c>
      <c r="D147" s="227"/>
      <c r="E147" s="228"/>
      <c r="F147" s="219">
        <f t="shared" si="69"/>
        <v>0</v>
      </c>
      <c r="G147" s="220">
        <f>IF(I$144="Error","Error",IF(AND($E$144&lt;&gt;"/",$E$144&gt;Paramètres!$AX3),Paramètres!$AX4,"/"))</f>
        <v>2</v>
      </c>
      <c r="H147" s="193">
        <f>IF(G147&lt;&gt;"/",VLOOKUP(G147,COSTS_Mortar[#All],2),"/")</f>
        <v>32000</v>
      </c>
      <c r="I147" s="194">
        <f>IF(G147&lt;&gt;"/",VLOOKUP(G147,COSTS_Mortar[#All],3),"/")</f>
        <v>12</v>
      </c>
      <c r="J147" s="193">
        <f t="shared" si="70"/>
        <v>0</v>
      </c>
      <c r="K147" s="221">
        <f t="shared" si="71"/>
        <v>0</v>
      </c>
    </row>
    <row r="148" spans="1:22" ht="15" customHeight="1" x14ac:dyDescent="0.25">
      <c r="A148" s="266">
        <v>3</v>
      </c>
      <c r="B148" s="264" t="str">
        <f>IF(Paramètres!P7=0,"",Paramètres!P7)</f>
        <v/>
      </c>
      <c r="C148" s="265">
        <f t="shared" si="68"/>
        <v>0</v>
      </c>
      <c r="D148" s="227"/>
      <c r="E148" s="228"/>
      <c r="F148" s="219">
        <f t="shared" si="69"/>
        <v>0</v>
      </c>
      <c r="G148" s="220">
        <f>IF(I$144="Error","Error",IF(AND($E$144&lt;&gt;"/",$E$144&gt;Paramètres!$AX4),Paramètres!$AX5,"/"))</f>
        <v>3</v>
      </c>
      <c r="H148" s="193">
        <f>IF(G148&lt;&gt;"/",VLOOKUP(G148,COSTS_Mortar[#All],2),"/")</f>
        <v>120000</v>
      </c>
      <c r="I148" s="194">
        <f>IF(G148&lt;&gt;"/",VLOOKUP(G148,COSTS_Mortar[#All],3),"/")</f>
        <v>24</v>
      </c>
      <c r="J148" s="193">
        <f t="shared" si="70"/>
        <v>0</v>
      </c>
      <c r="K148" s="221">
        <f t="shared" si="71"/>
        <v>0</v>
      </c>
    </row>
    <row r="149" spans="1:22" ht="15" customHeight="1" x14ac:dyDescent="0.25">
      <c r="A149" s="266">
        <v>4</v>
      </c>
      <c r="B149" s="264">
        <f>IF(Paramètres!P8=0,"",Paramètres!P8)</f>
        <v>1</v>
      </c>
      <c r="C149" s="265">
        <f t="shared" si="68"/>
        <v>0</v>
      </c>
      <c r="D149" s="227"/>
      <c r="E149" s="228"/>
      <c r="F149" s="219">
        <f t="shared" si="69"/>
        <v>0</v>
      </c>
      <c r="G149" s="220">
        <f>IF(I$144="Error","Error",IF(AND($E$144&lt;&gt;"/",$E$144&gt;Paramètres!$AX5),Paramètres!$AX6,"/"))</f>
        <v>4</v>
      </c>
      <c r="H149" s="193">
        <f>IF(G149&lt;&gt;"/",VLOOKUP(G149,COSTS_Mortar[#All],2),"/")</f>
        <v>400000</v>
      </c>
      <c r="I149" s="194">
        <f>IF(G149&lt;&gt;"/",VLOOKUP(G149,COSTS_Mortar[#All],3),"/")</f>
        <v>48</v>
      </c>
      <c r="J149" s="193">
        <f t="shared" si="70"/>
        <v>0</v>
      </c>
      <c r="K149" s="221">
        <f t="shared" si="71"/>
        <v>0</v>
      </c>
    </row>
    <row r="150" spans="1:22" ht="15" customHeight="1" x14ac:dyDescent="0.25">
      <c r="A150" s="266">
        <v>5</v>
      </c>
      <c r="B150" s="264">
        <f>IF(Paramètres!P9=0,"",Paramètres!P9)</f>
        <v>2</v>
      </c>
      <c r="C150" s="265">
        <f t="shared" si="68"/>
        <v>1</v>
      </c>
      <c r="D150" s="227"/>
      <c r="E150" s="228"/>
      <c r="F150" s="219">
        <f t="shared" si="69"/>
        <v>1</v>
      </c>
      <c r="G150" s="220">
        <f>IF(I$144="Error","Error",IF(AND($E$144&lt;&gt;"/",$E$144&gt;Paramètres!$AX6),Paramètres!$AX7,"/"))</f>
        <v>5</v>
      </c>
      <c r="H150" s="193">
        <f>IF(G150&lt;&gt;"/",VLOOKUP(G150,COSTS_Mortar[#All],2),"/")</f>
        <v>800000</v>
      </c>
      <c r="I150" s="194">
        <f>IF(G150&lt;&gt;"/",VLOOKUP(G150,COSTS_Mortar[#All],3),"/")</f>
        <v>96</v>
      </c>
      <c r="J150" s="193">
        <f t="shared" si="70"/>
        <v>800000</v>
      </c>
      <c r="K150" s="221">
        <f t="shared" si="71"/>
        <v>96</v>
      </c>
    </row>
    <row r="151" spans="1:22" ht="15" customHeight="1" x14ac:dyDescent="0.25">
      <c r="A151" s="266">
        <v>6</v>
      </c>
      <c r="B151" s="264" t="str">
        <f>IF(Paramètres!P10=0,"",Paramètres!P10)</f>
        <v/>
      </c>
      <c r="C151" s="265">
        <f t="shared" si="68"/>
        <v>3</v>
      </c>
      <c r="D151" s="227"/>
      <c r="E151" s="228"/>
      <c r="F151" s="219" t="str">
        <f t="shared" si="69"/>
        <v>/</v>
      </c>
      <c r="G151" s="220" t="str">
        <f>IF(I$144="Error","Error",IF(AND($E$144&lt;&gt;"/",$E$144&gt;Paramètres!$AX7),Paramètres!$AX8,"/"))</f>
        <v>/</v>
      </c>
      <c r="H151" s="193" t="str">
        <f>IF(G151&lt;&gt;"/",VLOOKUP(G151,COSTS_Mortar[#All],2),"/")</f>
        <v>/</v>
      </c>
      <c r="I151" s="194" t="str">
        <f>IF(G151&lt;&gt;"/",VLOOKUP(G151,COSTS_Mortar[#All],3),"/")</f>
        <v>/</v>
      </c>
      <c r="J151" s="193">
        <f t="shared" si="70"/>
        <v>0</v>
      </c>
      <c r="K151" s="221">
        <f t="shared" si="71"/>
        <v>0</v>
      </c>
    </row>
    <row r="152" spans="1:22" ht="15" customHeight="1" thickBot="1" x14ac:dyDescent="0.3">
      <c r="A152" s="266">
        <v>7</v>
      </c>
      <c r="B152" s="264" t="str">
        <f>IF(Paramètres!P11=0,"",Paramètres!P11)</f>
        <v/>
      </c>
      <c r="C152" s="265">
        <f t="shared" si="68"/>
        <v>3</v>
      </c>
      <c r="D152" s="227"/>
      <c r="E152" s="228"/>
      <c r="F152" s="243" t="str">
        <f t="shared" si="69"/>
        <v>/</v>
      </c>
      <c r="G152" s="241" t="str">
        <f>IF(I$144="Error","Error",IF(AND($E$144&lt;&gt;"/",$E$144&gt;Paramètres!$AX8),Paramètres!$AX9,"/"))</f>
        <v>/</v>
      </c>
      <c r="H152" s="244" t="str">
        <f>IF(G152&lt;&gt;"/",VLOOKUP(G152,COSTS_Mortar[#All],2),"/")</f>
        <v>/</v>
      </c>
      <c r="I152" s="233" t="str">
        <f>IF(G152&lt;&gt;"/",VLOOKUP(G152,COSTS_Mortar[#All],3),"/")</f>
        <v>/</v>
      </c>
      <c r="J152" s="244">
        <f t="shared" si="70"/>
        <v>0</v>
      </c>
      <c r="K152" s="242">
        <f t="shared" si="71"/>
        <v>0</v>
      </c>
      <c r="L152" s="311"/>
      <c r="M152" s="311"/>
      <c r="N152" s="311"/>
      <c r="O152" s="311"/>
      <c r="P152" s="311"/>
      <c r="Q152" s="311"/>
      <c r="R152" s="311"/>
      <c r="S152" s="311"/>
      <c r="T152" s="311"/>
      <c r="U152" s="311"/>
      <c r="V152" s="311"/>
    </row>
    <row r="153" spans="1:22" ht="15" customHeight="1" thickBot="1" x14ac:dyDescent="0.3">
      <c r="A153" s="420"/>
      <c r="B153" s="421"/>
      <c r="C153" s="421"/>
      <c r="D153" s="421"/>
      <c r="E153" s="421"/>
      <c r="F153" s="422"/>
      <c r="G153" s="422"/>
      <c r="H153" s="423"/>
      <c r="I153" s="158" t="s">
        <v>15</v>
      </c>
      <c r="J153" s="251">
        <f>IF(I$144="Error","Error",SUM(J146:J152))</f>
        <v>800000</v>
      </c>
      <c r="K153" s="252">
        <f>IF(I$144="Error","Error",SUM(K146:K152))</f>
        <v>96</v>
      </c>
      <c r="L153" s="311"/>
      <c r="M153" s="311"/>
      <c r="N153" s="311"/>
      <c r="O153" s="311"/>
      <c r="P153" s="311"/>
      <c r="Q153" s="311"/>
      <c r="R153" s="311"/>
      <c r="S153" s="311"/>
      <c r="T153" s="311"/>
      <c r="U153" s="311"/>
      <c r="V153" s="311"/>
    </row>
    <row r="154" spans="1:22" ht="15" customHeight="1" x14ac:dyDescent="0.25">
      <c r="A154" s="300"/>
      <c r="B154" s="300"/>
      <c r="C154" s="300"/>
      <c r="D154" s="300"/>
      <c r="E154" s="300"/>
      <c r="F154" s="300"/>
      <c r="L154" s="311"/>
      <c r="M154" s="311"/>
      <c r="N154" s="311"/>
      <c r="O154" s="311"/>
      <c r="P154" s="311"/>
      <c r="Q154" s="311"/>
      <c r="R154" s="311"/>
      <c r="S154" s="311"/>
      <c r="T154" s="311"/>
      <c r="U154" s="311"/>
      <c r="V154" s="311"/>
    </row>
    <row r="155" spans="1:22" ht="15" customHeight="1" thickBot="1" x14ac:dyDescent="0.3">
      <c r="A155" s="300"/>
      <c r="B155" s="300"/>
      <c r="C155" s="300"/>
      <c r="D155" s="300"/>
      <c r="E155" s="300"/>
      <c r="F155" s="300"/>
      <c r="L155" s="311"/>
      <c r="M155" s="311"/>
      <c r="N155" s="311"/>
      <c r="O155" s="311"/>
      <c r="P155" s="311"/>
      <c r="Q155" s="311"/>
      <c r="R155" s="311"/>
      <c r="S155" s="311"/>
      <c r="T155" s="311"/>
      <c r="U155" s="311"/>
      <c r="V155" s="311"/>
    </row>
    <row r="156" spans="1:22" ht="30" customHeight="1" thickBot="1" x14ac:dyDescent="0.3">
      <c r="A156" s="410" t="s">
        <v>71</v>
      </c>
      <c r="B156" s="411"/>
      <c r="C156" s="411"/>
      <c r="D156" s="411"/>
      <c r="E156" s="411"/>
      <c r="F156" s="411"/>
      <c r="G156" s="411"/>
      <c r="H156" s="411"/>
      <c r="I156" s="411"/>
      <c r="J156" s="411"/>
      <c r="K156" s="411"/>
      <c r="L156" s="411"/>
      <c r="M156" s="411"/>
      <c r="N156" s="411"/>
      <c r="O156" s="411"/>
      <c r="P156" s="411"/>
      <c r="Q156" s="411"/>
      <c r="R156" s="411"/>
      <c r="S156" s="411"/>
      <c r="T156" s="411"/>
      <c r="U156" s="411"/>
      <c r="V156" s="444"/>
    </row>
    <row r="157" spans="1:22" ht="20.100000000000001" customHeight="1" thickBot="1" x14ac:dyDescent="0.3">
      <c r="A157" s="431" t="s">
        <v>76</v>
      </c>
      <c r="B157" s="432"/>
      <c r="C157" s="432"/>
      <c r="D157" s="432"/>
      <c r="E157" s="432"/>
      <c r="F157" s="432"/>
      <c r="G157" s="432"/>
      <c r="H157" s="432"/>
      <c r="I157" s="432"/>
      <c r="J157" s="432"/>
      <c r="K157" s="432"/>
      <c r="L157" s="448"/>
      <c r="M157" s="448"/>
      <c r="N157" s="448"/>
      <c r="O157" s="448"/>
      <c r="P157" s="448"/>
      <c r="Q157" s="448"/>
      <c r="R157" s="448"/>
      <c r="S157" s="448"/>
      <c r="T157" s="448"/>
      <c r="U157" s="448"/>
      <c r="V157" s="449"/>
    </row>
    <row r="158" spans="1:22" ht="15" customHeight="1" x14ac:dyDescent="0.25">
      <c r="A158" s="414" t="s">
        <v>124</v>
      </c>
      <c r="B158" s="415"/>
      <c r="C158" s="416"/>
      <c r="D158" s="164" t="s">
        <v>16</v>
      </c>
      <c r="E158" s="165" t="s">
        <v>17</v>
      </c>
      <c r="F158" s="166"/>
      <c r="G158" s="167"/>
      <c r="H158" s="168"/>
      <c r="I158" s="164" t="s">
        <v>91</v>
      </c>
      <c r="J158" s="169" t="s">
        <v>90</v>
      </c>
      <c r="K158" s="165" t="s">
        <v>92</v>
      </c>
      <c r="L158" s="414" t="s">
        <v>125</v>
      </c>
      <c r="M158" s="415"/>
      <c r="N158" s="416"/>
      <c r="O158" s="164" t="s">
        <v>16</v>
      </c>
      <c r="P158" s="165" t="s">
        <v>17</v>
      </c>
      <c r="Q158" s="166"/>
      <c r="R158" s="167"/>
      <c r="S158" s="168"/>
      <c r="T158" s="164" t="s">
        <v>91</v>
      </c>
      <c r="U158" s="169" t="s">
        <v>90</v>
      </c>
      <c r="V158" s="165" t="s">
        <v>92</v>
      </c>
    </row>
    <row r="159" spans="1:22" ht="15" customHeight="1" thickBot="1" x14ac:dyDescent="0.3">
      <c r="A159" s="417"/>
      <c r="B159" s="418"/>
      <c r="C159" s="419"/>
      <c r="D159" s="183">
        <f>VLOOKUP($A$1,AVAILABLE_Buildings_Other[#All],MATCH(A158,AVAILABLE_Buildings_Other[#Headers],0))</f>
        <v>1</v>
      </c>
      <c r="E159" s="184">
        <f>VLOOKUP($A$1,AVAILABLE_Buildings_Other[#All],MATCH(A158,AVAILABLE_Buildings_Other[#Headers],0)+1)</f>
        <v>3</v>
      </c>
      <c r="F159" s="185"/>
      <c r="G159" s="186"/>
      <c r="H159" s="187"/>
      <c r="I159" s="183">
        <f>IF(SUM(B161:B165)&gt;D159,"Error",SUM(B161:B165))</f>
        <v>1</v>
      </c>
      <c r="J159" s="188">
        <f>IF(I$159="Error","Error",D159-I159)</f>
        <v>0</v>
      </c>
      <c r="K159" s="189">
        <f>IF(I$159="Error","Error",SUM(F161:F165))</f>
        <v>0</v>
      </c>
      <c r="L159" s="417"/>
      <c r="M159" s="418"/>
      <c r="N159" s="419"/>
      <c r="O159" s="183">
        <f>VLOOKUP($A$1,AVAILABLE_Buildings_Other[#All],MATCH(L158,AVAILABLE_Buildings_Other[#Headers],0))</f>
        <v>1</v>
      </c>
      <c r="P159" s="184">
        <f>VLOOKUP($A$1,AVAILABLE_Buildings_Other[#All],MATCH(L158,AVAILABLE_Buildings_Other[#Headers],0)+1)</f>
        <v>8</v>
      </c>
      <c r="Q159" s="185"/>
      <c r="R159" s="186"/>
      <c r="S159" s="187"/>
      <c r="T159" s="183">
        <f>IF(SUM(M161:M170)&gt;O159,"Error",SUM(M161:M170))</f>
        <v>1</v>
      </c>
      <c r="U159" s="188">
        <f>IF(T$159="Error","Error",O159-T159)</f>
        <v>0</v>
      </c>
      <c r="V159" s="189">
        <f>IF(T$159="Error","Error",SUM(Q161:Q170))</f>
        <v>1</v>
      </c>
    </row>
    <row r="160" spans="1:22" ht="15" customHeight="1" thickBot="1" x14ac:dyDescent="0.3">
      <c r="A160" s="200" t="s">
        <v>14</v>
      </c>
      <c r="B160" s="201" t="s">
        <v>13</v>
      </c>
      <c r="C160" s="202"/>
      <c r="D160" s="202"/>
      <c r="E160" s="203"/>
      <c r="F160" s="208" t="s">
        <v>13</v>
      </c>
      <c r="G160" s="209" t="s">
        <v>14</v>
      </c>
      <c r="H160" s="206" t="s">
        <v>133</v>
      </c>
      <c r="I160" s="206" t="s">
        <v>134</v>
      </c>
      <c r="J160" s="206" t="s">
        <v>74</v>
      </c>
      <c r="K160" s="207" t="s">
        <v>75</v>
      </c>
      <c r="L160" s="200" t="s">
        <v>14</v>
      </c>
      <c r="M160" s="201" t="s">
        <v>13</v>
      </c>
      <c r="N160" s="202"/>
      <c r="O160" s="202"/>
      <c r="P160" s="203"/>
      <c r="Q160" s="208" t="s">
        <v>13</v>
      </c>
      <c r="R160" s="209" t="s">
        <v>14</v>
      </c>
      <c r="S160" s="206" t="s">
        <v>133</v>
      </c>
      <c r="T160" s="206" t="s">
        <v>134</v>
      </c>
      <c r="U160" s="206" t="s">
        <v>74</v>
      </c>
      <c r="V160" s="207" t="s">
        <v>75</v>
      </c>
    </row>
    <row r="161" spans="1:22" ht="15" customHeight="1" x14ac:dyDescent="0.25">
      <c r="A161" s="222">
        <v>1</v>
      </c>
      <c r="B161" s="215" t="str">
        <f>IF(Paramètres!V5=0,"",Paramètres!V5)</f>
        <v/>
      </c>
      <c r="C161" s="216">
        <f>IF(C160&lt;&gt;0,C160+IF(AND(B160&lt;&gt;"",A160&lt;P$6),B160,0),IF(AND(B160&lt;&gt;"",A160&lt;P$6),B160,0))</f>
        <v>0</v>
      </c>
      <c r="D161" s="217"/>
      <c r="E161" s="218"/>
      <c r="F161" s="223">
        <f>IF(G161&lt;&gt;"/",IF(I$159="Error","Error",$J$159+C161),"/")</f>
        <v>0</v>
      </c>
      <c r="G161" s="224">
        <f>IF(I$159="Error","Error",IF(AND($E$159&lt;&gt;"/",$E$159&gt;Paramètres!$AX2),Paramètres!$AX3,"/"))</f>
        <v>1</v>
      </c>
      <c r="H161" s="180">
        <f>IF(G161&lt;&gt;"/",VLOOKUP(G161,COSTS_Clan_Castle[#All],2),"/")</f>
        <v>40000</v>
      </c>
      <c r="I161" s="179">
        <f>IF(G161&lt;&gt;"/",VLOOKUP(G161,COSTS_Clan_Castle[#All],3),"/")</f>
        <v>0</v>
      </c>
      <c r="J161" s="180">
        <f>IF(I$159="Error","Error",IF(H161&lt;&gt;"/",F161*H161,0))</f>
        <v>0</v>
      </c>
      <c r="K161" s="225">
        <f>IF(I$159="Error","Error",IF(I161&lt;&gt;"/",F161*I161,0))</f>
        <v>0</v>
      </c>
      <c r="L161" s="222">
        <v>1</v>
      </c>
      <c r="M161" s="215" t="str">
        <f>IF(Paramètres!W5=0,"",Paramètres!W5)</f>
        <v/>
      </c>
      <c r="N161" s="216">
        <f t="shared" ref="N161:N170" si="72">IF(N160&lt;&gt;0,N160+IF(AND(M160&lt;&gt;"",L160&lt;P$6),M160,0),IF(AND(M160&lt;&gt;"",L160&lt;P$6),M160,0))</f>
        <v>0</v>
      </c>
      <c r="O161" s="217"/>
      <c r="P161" s="218"/>
      <c r="Q161" s="223">
        <f t="shared" ref="Q161:Q170" si="73">IF(R161&lt;&gt;"/",IF(T$159="Error","Error",$U$159+N161),"/")</f>
        <v>0</v>
      </c>
      <c r="R161" s="224">
        <f>IF(T$159="Error","Error",IF(AND($P$159&lt;&gt;"/",$P$159&gt;Paramètres!$AX2),Paramètres!$AX3,"/"))</f>
        <v>1</v>
      </c>
      <c r="S161" s="180">
        <f>IF(R161&lt;&gt;"/",VLOOKUP(R161,COSTS_Town_Home[#All],2),"/")</f>
        <v>0</v>
      </c>
      <c r="T161" s="179">
        <f>IF(R161&lt;&gt;"/",VLOOKUP(R161,COSTS_Town_Home[#All],3),"/")</f>
        <v>0</v>
      </c>
      <c r="U161" s="180">
        <f t="shared" ref="U161:U170" si="74">IF(T$159="Error","Error",IF(S161&lt;&gt;"/",Q161*S161,0))</f>
        <v>0</v>
      </c>
      <c r="V161" s="225">
        <f t="shared" ref="V161:V170" si="75">IF(T$159="Error","Error",IF(T161&lt;&gt;"/",Q161*T161,0))</f>
        <v>0</v>
      </c>
    </row>
    <row r="162" spans="1:22" ht="15" customHeight="1" x14ac:dyDescent="0.25">
      <c r="A162" s="214">
        <v>2</v>
      </c>
      <c r="B162" s="226" t="str">
        <f>IF(Paramètres!V6=0,"",Paramètres!V6)</f>
        <v/>
      </c>
      <c r="C162" s="216">
        <f>IF(C161&lt;&gt;0,C161+IF(AND(B161&lt;&gt;"",A161&lt;P$6),B161,0),IF(AND(B161&lt;&gt;"",A161&lt;P$6),B161,0))</f>
        <v>0</v>
      </c>
      <c r="D162" s="227"/>
      <c r="E162" s="228"/>
      <c r="F162" s="219">
        <f>IF(G162&lt;&gt;"/",IF(I$159="Error","Error",$J$159+C162),"/")</f>
        <v>0</v>
      </c>
      <c r="G162" s="220">
        <f>IF(I$159="Error","Error",IF(AND($E$159&lt;&gt;"/",$E$159&gt;Paramètres!$AX3),Paramètres!$AX4,"/"))</f>
        <v>2</v>
      </c>
      <c r="H162" s="193">
        <f>IF(G162&lt;&gt;"/",VLOOKUP(G162,COSTS_Clan_Castle[#All],2),"/")</f>
        <v>100000</v>
      </c>
      <c r="I162" s="194">
        <f>IF(G162&lt;&gt;"/",VLOOKUP(G162,COSTS_Clan_Castle[#All],3),"/")</f>
        <v>6</v>
      </c>
      <c r="J162" s="193">
        <f>IF(I$159="Error","Error",IF(H162&lt;&gt;"/",F162*H162,0))</f>
        <v>0</v>
      </c>
      <c r="K162" s="221">
        <f>IF(I$159="Error","Error",IF(I162&lt;&gt;"/",F162*I162,0))</f>
        <v>0</v>
      </c>
      <c r="L162" s="214">
        <v>2</v>
      </c>
      <c r="M162" s="226" t="str">
        <f>IF(Paramètres!W6=0,"",Paramètres!W6)</f>
        <v/>
      </c>
      <c r="N162" s="216">
        <f t="shared" si="72"/>
        <v>0</v>
      </c>
      <c r="O162" s="227"/>
      <c r="P162" s="228"/>
      <c r="Q162" s="219">
        <f t="shared" si="73"/>
        <v>0</v>
      </c>
      <c r="R162" s="220">
        <f>IF(T$159="Error","Error",IF(AND($P$159&lt;&gt;"/",$P$159&gt;Paramètres!$AX3),Paramètres!$AX4,"/"))</f>
        <v>2</v>
      </c>
      <c r="S162" s="193">
        <f>IF(R162&lt;&gt;"/",VLOOKUP(R162,COSTS_Town_Home[#All],2),"/")</f>
        <v>1000</v>
      </c>
      <c r="T162" s="194">
        <f>IF(R162&lt;&gt;"/",VLOOKUP(R162,COSTS_Town_Home[#All],3),"/")</f>
        <v>8.3333333333333329E-2</v>
      </c>
      <c r="U162" s="193">
        <f t="shared" si="74"/>
        <v>0</v>
      </c>
      <c r="V162" s="221">
        <f t="shared" si="75"/>
        <v>0</v>
      </c>
    </row>
    <row r="163" spans="1:22" ht="15" customHeight="1" x14ac:dyDescent="0.25">
      <c r="A163" s="214">
        <v>3</v>
      </c>
      <c r="B163" s="226">
        <f>IF(Paramètres!V7=0,"",Paramètres!V7)</f>
        <v>1</v>
      </c>
      <c r="C163" s="216">
        <f>IF(C162&lt;&gt;0,C162+IF(AND(B162&lt;&gt;"",A162&lt;P$6),B162,0),IF(AND(B162&lt;&gt;"",A162&lt;P$6),B162,0))</f>
        <v>0</v>
      </c>
      <c r="D163" s="227"/>
      <c r="E163" s="228"/>
      <c r="F163" s="219">
        <f>IF(G163&lt;&gt;"/",IF(I$159="Error","Error",$J$159+C163),"/")</f>
        <v>0</v>
      </c>
      <c r="G163" s="220">
        <f>IF(I$159="Error","Error",IF(AND($E$159&lt;&gt;"/",$E$159&gt;Paramètres!$AX4),Paramètres!$AX5,"/"))</f>
        <v>3</v>
      </c>
      <c r="H163" s="193">
        <f>IF(G163&lt;&gt;"/",VLOOKUP(G163,COSTS_Clan_Castle[#All],2),"/")</f>
        <v>800000</v>
      </c>
      <c r="I163" s="194">
        <f>IF(G163&lt;&gt;"/",VLOOKUP(G163,COSTS_Clan_Castle[#All],3),"/")</f>
        <v>24</v>
      </c>
      <c r="J163" s="193">
        <f>IF(I$159="Error","Error",IF(H163&lt;&gt;"/",F163*H163,0))</f>
        <v>0</v>
      </c>
      <c r="K163" s="221">
        <f>IF(I$159="Error","Error",IF(I163&lt;&gt;"/",F163*I163,0))</f>
        <v>0</v>
      </c>
      <c r="L163" s="214">
        <v>3</v>
      </c>
      <c r="M163" s="226" t="str">
        <f>IF(Paramètres!W7=0,"",Paramètres!W7)</f>
        <v/>
      </c>
      <c r="N163" s="216">
        <f t="shared" si="72"/>
        <v>0</v>
      </c>
      <c r="O163" s="227"/>
      <c r="P163" s="228"/>
      <c r="Q163" s="219">
        <f t="shared" si="73"/>
        <v>0</v>
      </c>
      <c r="R163" s="220">
        <f>IF(T$159="Error","Error",IF(AND($P$159&lt;&gt;"/",$P$159&gt;Paramètres!$AX4),Paramètres!$AX5,"/"))</f>
        <v>3</v>
      </c>
      <c r="S163" s="193">
        <f>IF(R163&lt;&gt;"/",VLOOKUP(R163,COSTS_Town_Home[#All],2),"/")</f>
        <v>4000</v>
      </c>
      <c r="T163" s="194">
        <f>IF(R163&lt;&gt;"/",VLOOKUP(R163,COSTS_Town_Home[#All],3),"/")</f>
        <v>3</v>
      </c>
      <c r="U163" s="193">
        <f t="shared" si="74"/>
        <v>0</v>
      </c>
      <c r="V163" s="221">
        <f t="shared" si="75"/>
        <v>0</v>
      </c>
    </row>
    <row r="164" spans="1:22" ht="15" customHeight="1" x14ac:dyDescent="0.25">
      <c r="A164" s="214">
        <v>4</v>
      </c>
      <c r="B164" s="226" t="str">
        <f>IF(Paramètres!V8=0,"",Paramètres!V8)</f>
        <v/>
      </c>
      <c r="C164" s="216">
        <f>IF(C163&lt;&gt;0,C163+IF(AND(B163&lt;&gt;"",A163&lt;P$6),B163,0),IF(AND(B163&lt;&gt;"",A163&lt;P$6),B163,0))</f>
        <v>1</v>
      </c>
      <c r="D164" s="227"/>
      <c r="E164" s="228"/>
      <c r="F164" s="219" t="str">
        <f>IF(G164&lt;&gt;"/",IF(I$159="Error","Error",$J$159+C164),"/")</f>
        <v>/</v>
      </c>
      <c r="G164" s="220" t="str">
        <f>IF(I$159="Error","Error",IF(AND($E$159&lt;&gt;"/",$E$159&gt;Paramètres!$AX5),Paramètres!$AX6,"/"))</f>
        <v>/</v>
      </c>
      <c r="H164" s="193" t="str">
        <f>IF(G164&lt;&gt;"/",VLOOKUP(G164,COSTS_Clan_Castle[#All],2),"/")</f>
        <v>/</v>
      </c>
      <c r="I164" s="194" t="str">
        <f>IF(G164&lt;&gt;"/",VLOOKUP(G164,COSTS_Clan_Castle[#All],3),"/")</f>
        <v>/</v>
      </c>
      <c r="J164" s="193">
        <f>IF(I$159="Error","Error",IF(H164&lt;&gt;"/",F164*H164,0))</f>
        <v>0</v>
      </c>
      <c r="K164" s="221">
        <f>IF(I$159="Error","Error",IF(I164&lt;&gt;"/",F164*I164,0))</f>
        <v>0</v>
      </c>
      <c r="L164" s="214">
        <v>4</v>
      </c>
      <c r="M164" s="226" t="str">
        <f>IF(Paramètres!W8=0,"",Paramètres!W8)</f>
        <v/>
      </c>
      <c r="N164" s="216">
        <f t="shared" si="72"/>
        <v>0</v>
      </c>
      <c r="O164" s="227"/>
      <c r="P164" s="228"/>
      <c r="Q164" s="219">
        <f t="shared" si="73"/>
        <v>0</v>
      </c>
      <c r="R164" s="220">
        <f>IF(T$159="Error","Error",IF(AND($P$159&lt;&gt;"/",$P$159&gt;Paramètres!$AX5),Paramètres!$AX6,"/"))</f>
        <v>4</v>
      </c>
      <c r="S164" s="193">
        <f>IF(R164&lt;&gt;"/",VLOOKUP(R164,COSTS_Town_Home[#All],2),"/")</f>
        <v>25000</v>
      </c>
      <c r="T164" s="194">
        <f>IF(R164&lt;&gt;"/",VLOOKUP(R164,COSTS_Town_Home[#All],3),"/")</f>
        <v>24</v>
      </c>
      <c r="U164" s="193">
        <f t="shared" si="74"/>
        <v>0</v>
      </c>
      <c r="V164" s="221">
        <f t="shared" si="75"/>
        <v>0</v>
      </c>
    </row>
    <row r="165" spans="1:22" ht="15" customHeight="1" thickBot="1" x14ac:dyDescent="0.3">
      <c r="A165" s="214">
        <v>5</v>
      </c>
      <c r="B165" s="237" t="str">
        <f>IF(Paramètres!V9=0,"",Paramètres!V9)</f>
        <v/>
      </c>
      <c r="C165" s="216">
        <f>IF(C164&lt;&gt;0,C164+IF(AND(B164&lt;&gt;"",A164&lt;P$6),B164,0),IF(AND(B164&lt;&gt;"",A164&lt;P$6),B164,0))</f>
        <v>1</v>
      </c>
      <c r="D165" s="227"/>
      <c r="E165" s="228"/>
      <c r="F165" s="243" t="str">
        <f>IF(G165&lt;&gt;"/",IF(I$159="Error","Error",$J$159+C165),"/")</f>
        <v>/</v>
      </c>
      <c r="G165" s="241" t="str">
        <f>IF(I$159="Error","Error",IF(AND($E$159&lt;&gt;"/",$E$159&gt;Paramètres!$AX6),Paramètres!$AX7,"/"))</f>
        <v>/</v>
      </c>
      <c r="H165" s="244" t="str">
        <f>IF(G165&lt;&gt;"/",VLOOKUP(G165,COSTS_Clan_Castle[#All],2),"/")</f>
        <v>/</v>
      </c>
      <c r="I165" s="233" t="str">
        <f>IF(G165&lt;&gt;"/",VLOOKUP(G165,COSTS_Clan_Castle[#All],3),"/")</f>
        <v>/</v>
      </c>
      <c r="J165" s="244">
        <f>IF(I$159="Error","Error",IF(H165&lt;&gt;"/",F165*H165,0))</f>
        <v>0</v>
      </c>
      <c r="K165" s="242">
        <f>IF(I$159="Error","Error",IF(I165&lt;&gt;"/",F165*I165,0))</f>
        <v>0</v>
      </c>
      <c r="L165" s="214">
        <v>5</v>
      </c>
      <c r="M165" s="226" t="str">
        <f>IF(Paramètres!W9=0,"",Paramètres!W9)</f>
        <v/>
      </c>
      <c r="N165" s="216">
        <f t="shared" si="72"/>
        <v>0</v>
      </c>
      <c r="O165" s="227"/>
      <c r="P165" s="228"/>
      <c r="Q165" s="219">
        <f t="shared" si="73"/>
        <v>0</v>
      </c>
      <c r="R165" s="220">
        <f>IF(T$159="Error","Error",IF(AND($P$159&lt;&gt;"/",$P$159&gt;Paramètres!$AX6),Paramètres!$AX7,"/"))</f>
        <v>5</v>
      </c>
      <c r="S165" s="193">
        <f>IF(R165&lt;&gt;"/",VLOOKUP(R165,COSTS_Town_Home[#All],2),"/")</f>
        <v>150000</v>
      </c>
      <c r="T165" s="194">
        <f>IF(R165&lt;&gt;"/",VLOOKUP(R165,COSTS_Town_Home[#All],3),"/")</f>
        <v>48</v>
      </c>
      <c r="U165" s="193">
        <f t="shared" si="74"/>
        <v>0</v>
      </c>
      <c r="V165" s="221">
        <f t="shared" si="75"/>
        <v>0</v>
      </c>
    </row>
    <row r="166" spans="1:22" ht="15" customHeight="1" thickBot="1" x14ac:dyDescent="0.3">
      <c r="A166" s="420"/>
      <c r="B166" s="422"/>
      <c r="C166" s="421"/>
      <c r="D166" s="421"/>
      <c r="E166" s="421"/>
      <c r="F166" s="422"/>
      <c r="G166" s="422"/>
      <c r="H166" s="423"/>
      <c r="I166" s="158" t="s">
        <v>15</v>
      </c>
      <c r="J166" s="251">
        <f>IF(I$159="Error","Error",SUM(J161:J165))</f>
        <v>0</v>
      </c>
      <c r="K166" s="252">
        <f>IF(I$159="Error","Error",SUM(K161:K165))</f>
        <v>0</v>
      </c>
      <c r="L166" s="214">
        <v>6</v>
      </c>
      <c r="M166" s="226" t="str">
        <f>IF(Paramètres!W10=0,"",Paramètres!W10)</f>
        <v/>
      </c>
      <c r="N166" s="216">
        <f t="shared" si="72"/>
        <v>0</v>
      </c>
      <c r="O166" s="227"/>
      <c r="P166" s="228"/>
      <c r="Q166" s="219">
        <f t="shared" si="73"/>
        <v>0</v>
      </c>
      <c r="R166" s="220">
        <f>IF(T$159="Error","Error",IF(AND($P$159&lt;&gt;"/",$P$159&gt;Paramètres!$AX7),Paramètres!$AX8,"/"))</f>
        <v>6</v>
      </c>
      <c r="S166" s="193">
        <f>IF(R166&lt;&gt;"/",VLOOKUP(R166,COSTS_Town_Home[#All],2),"/")</f>
        <v>750000</v>
      </c>
      <c r="T166" s="194">
        <f>IF(R166&lt;&gt;"/",VLOOKUP(R166,COSTS_Town_Home[#All],3),"/")</f>
        <v>96</v>
      </c>
      <c r="U166" s="193">
        <f t="shared" si="74"/>
        <v>0</v>
      </c>
      <c r="V166" s="221">
        <f t="shared" si="75"/>
        <v>0</v>
      </c>
    </row>
    <row r="167" spans="1:22" ht="15" customHeight="1" x14ac:dyDescent="0.25">
      <c r="L167" s="214">
        <v>7</v>
      </c>
      <c r="M167" s="226">
        <f>IF(Paramètres!W11=0,"",Paramètres!W11)</f>
        <v>1</v>
      </c>
      <c r="N167" s="216">
        <f t="shared" si="72"/>
        <v>0</v>
      </c>
      <c r="O167" s="227"/>
      <c r="P167" s="228"/>
      <c r="Q167" s="219">
        <f t="shared" si="73"/>
        <v>0</v>
      </c>
      <c r="R167" s="220">
        <f>IF(T$159="Error","Error",IF(AND($P$159&lt;&gt;"/",$P$159&gt;Paramètres!$AX8),Paramètres!$AX9,"/"))</f>
        <v>7</v>
      </c>
      <c r="S167" s="193">
        <f>IF(R167&lt;&gt;"/",VLOOKUP(R167,COSTS_Town_Home[#All],2),"/")</f>
        <v>1200000</v>
      </c>
      <c r="T167" s="194">
        <f>IF(R167&lt;&gt;"/",VLOOKUP(R167,COSTS_Town_Home[#All],3),"/")</f>
        <v>144</v>
      </c>
      <c r="U167" s="193">
        <f t="shared" si="74"/>
        <v>0</v>
      </c>
      <c r="V167" s="221">
        <f t="shared" si="75"/>
        <v>0</v>
      </c>
    </row>
    <row r="168" spans="1:22" ht="15" customHeight="1" x14ac:dyDescent="0.25">
      <c r="L168" s="214">
        <v>8</v>
      </c>
      <c r="M168" s="226" t="str">
        <f>IF(Paramètres!W12=0,"",Paramètres!W12)</f>
        <v/>
      </c>
      <c r="N168" s="216">
        <f t="shared" si="72"/>
        <v>1</v>
      </c>
      <c r="O168" s="227"/>
      <c r="P168" s="228"/>
      <c r="Q168" s="219">
        <f t="shared" si="73"/>
        <v>1</v>
      </c>
      <c r="R168" s="220">
        <f>IF(T$159="Error","Error",IF(AND($P$159&lt;&gt;"/",$P$159&gt;Paramètres!$AX9),Paramètres!$AX10,"/"))</f>
        <v>8</v>
      </c>
      <c r="S168" s="193">
        <f>IF(R168&lt;&gt;"/",VLOOKUP(R168,COSTS_Town_Home[#All],2),"/")</f>
        <v>2000000</v>
      </c>
      <c r="T168" s="194">
        <f>IF(R168&lt;&gt;"/",VLOOKUP(R168,COSTS_Town_Home[#All],3),"/")</f>
        <v>192</v>
      </c>
      <c r="U168" s="193">
        <f t="shared" si="74"/>
        <v>2000000</v>
      </c>
      <c r="V168" s="221">
        <f t="shared" si="75"/>
        <v>192</v>
      </c>
    </row>
    <row r="169" spans="1:22" ht="15" customHeight="1" x14ac:dyDescent="0.25">
      <c r="L169" s="214">
        <v>9</v>
      </c>
      <c r="M169" s="226" t="str">
        <f>IF(Paramètres!W13=0,"",Paramètres!W13)</f>
        <v/>
      </c>
      <c r="N169" s="216">
        <f t="shared" si="72"/>
        <v>1</v>
      </c>
      <c r="O169" s="227"/>
      <c r="P169" s="228"/>
      <c r="Q169" s="219" t="str">
        <f t="shared" si="73"/>
        <v>/</v>
      </c>
      <c r="R169" s="220" t="str">
        <f>IF(T$159="Error","Error",IF(AND($P$159&lt;&gt;"/",$P$159&gt;Paramètres!$AX10),Paramètres!$AX11,"/"))</f>
        <v>/</v>
      </c>
      <c r="S169" s="193" t="str">
        <f>IF(R169&lt;&gt;"/",VLOOKUP(R169,COSTS_Town_Home[#All],2),"/")</f>
        <v>/</v>
      </c>
      <c r="T169" s="194" t="str">
        <f>IF(R169&lt;&gt;"/",VLOOKUP(R169,COSTS_Town_Home[#All],3),"/")</f>
        <v>/</v>
      </c>
      <c r="U169" s="193">
        <f t="shared" si="74"/>
        <v>0</v>
      </c>
      <c r="V169" s="221">
        <f t="shared" si="75"/>
        <v>0</v>
      </c>
    </row>
    <row r="170" spans="1:22" ht="15" customHeight="1" thickBot="1" x14ac:dyDescent="0.3">
      <c r="L170" s="214">
        <v>10</v>
      </c>
      <c r="M170" s="237" t="str">
        <f>IF(Paramètres!W14=0,"",Paramètres!W14)</f>
        <v/>
      </c>
      <c r="N170" s="216">
        <f t="shared" si="72"/>
        <v>1</v>
      </c>
      <c r="O170" s="227"/>
      <c r="P170" s="228"/>
      <c r="Q170" s="243" t="str">
        <f t="shared" si="73"/>
        <v>/</v>
      </c>
      <c r="R170" s="241" t="str">
        <f>IF(T$159="Error","Error",IF(AND($P$159&lt;&gt;"/",$P$159&gt;Paramètres!$AX11),Paramètres!$AX12,"/"))</f>
        <v>/</v>
      </c>
      <c r="S170" s="244" t="str">
        <f>IF(R170&lt;&gt;"/",VLOOKUP(R170,COSTS_Town_Home[#All],2),"/")</f>
        <v>/</v>
      </c>
      <c r="T170" s="233" t="str">
        <f>IF(R170&lt;&gt;"/",VLOOKUP(R170,COSTS_Town_Home[#All],3),"/")</f>
        <v>/</v>
      </c>
      <c r="U170" s="244">
        <f t="shared" si="74"/>
        <v>0</v>
      </c>
      <c r="V170" s="242">
        <f t="shared" si="75"/>
        <v>0</v>
      </c>
    </row>
    <row r="171" spans="1:22" ht="15" customHeight="1" thickBot="1" x14ac:dyDescent="0.3">
      <c r="L171" s="420"/>
      <c r="M171" s="422"/>
      <c r="N171" s="421"/>
      <c r="O171" s="421"/>
      <c r="P171" s="421"/>
      <c r="Q171" s="422"/>
      <c r="R171" s="422"/>
      <c r="S171" s="423"/>
      <c r="T171" s="158" t="s">
        <v>15</v>
      </c>
      <c r="U171" s="251">
        <f>IF(T$159="Error","Error",SUM(U161:U170))</f>
        <v>2000000</v>
      </c>
      <c r="V171" s="252">
        <f>IF(T$159="Error","Error",SUM(V161:V170))</f>
        <v>192</v>
      </c>
    </row>
    <row r="172" spans="1:22" ht="15" customHeight="1" x14ac:dyDescent="0.25">
      <c r="A172" s="300"/>
      <c r="B172" s="300"/>
      <c r="C172" s="300"/>
      <c r="D172" s="300"/>
      <c r="E172" s="300"/>
      <c r="F172" s="300"/>
      <c r="L172" s="311"/>
      <c r="M172" s="311"/>
      <c r="N172" s="311"/>
      <c r="O172" s="311"/>
      <c r="P172" s="311"/>
      <c r="Q172" s="311"/>
      <c r="R172" s="311"/>
      <c r="S172" s="311"/>
      <c r="T172" s="311"/>
      <c r="U172" s="311"/>
      <c r="V172" s="311"/>
    </row>
    <row r="173" spans="1:22" ht="15" customHeight="1" thickBot="1" x14ac:dyDescent="0.3"/>
    <row r="174" spans="1:22" ht="30" customHeight="1" thickBot="1" x14ac:dyDescent="0.3">
      <c r="A174" s="410" t="s">
        <v>60</v>
      </c>
      <c r="B174" s="436"/>
      <c r="C174" s="436"/>
      <c r="D174" s="436"/>
      <c r="E174" s="436"/>
      <c r="F174" s="436"/>
      <c r="G174" s="436"/>
      <c r="H174" s="436"/>
      <c r="I174" s="436"/>
      <c r="J174" s="436"/>
      <c r="K174" s="436"/>
      <c r="L174" s="436"/>
      <c r="M174" s="436"/>
      <c r="N174" s="436"/>
      <c r="O174" s="436"/>
      <c r="P174" s="436"/>
      <c r="Q174" s="436"/>
      <c r="R174" s="436"/>
      <c r="S174" s="436"/>
      <c r="T174" s="436"/>
      <c r="U174" s="436"/>
      <c r="V174" s="437"/>
    </row>
    <row r="175" spans="1:22" ht="20.100000000000001" customHeight="1" thickBot="1" x14ac:dyDescent="0.3">
      <c r="A175" s="438" t="s">
        <v>77</v>
      </c>
      <c r="B175" s="439"/>
      <c r="C175" s="439"/>
      <c r="D175" s="439"/>
      <c r="E175" s="439"/>
      <c r="F175" s="439"/>
      <c r="G175" s="439"/>
      <c r="H175" s="439"/>
      <c r="I175" s="439"/>
      <c r="J175" s="439"/>
      <c r="K175" s="439"/>
      <c r="L175" s="440"/>
      <c r="M175" s="440"/>
      <c r="N175" s="440"/>
      <c r="O175" s="440"/>
      <c r="P175" s="440"/>
      <c r="Q175" s="440"/>
      <c r="R175" s="440"/>
      <c r="S175" s="440"/>
      <c r="T175" s="440"/>
      <c r="U175" s="440"/>
      <c r="V175" s="441"/>
    </row>
    <row r="176" spans="1:22" ht="15" customHeight="1" x14ac:dyDescent="0.25">
      <c r="A176" s="414" t="s">
        <v>100</v>
      </c>
      <c r="B176" s="415"/>
      <c r="C176" s="416"/>
      <c r="D176" s="164" t="s">
        <v>16</v>
      </c>
      <c r="E176" s="165" t="s">
        <v>17</v>
      </c>
      <c r="F176" s="166"/>
      <c r="G176" s="167"/>
      <c r="H176" s="168"/>
      <c r="I176" s="164" t="s">
        <v>91</v>
      </c>
      <c r="J176" s="169" t="s">
        <v>90</v>
      </c>
      <c r="K176" s="165" t="s">
        <v>92</v>
      </c>
      <c r="L176" s="414" t="s">
        <v>103</v>
      </c>
      <c r="M176" s="415"/>
      <c r="N176" s="416"/>
      <c r="O176" s="164" t="s">
        <v>16</v>
      </c>
      <c r="P176" s="165" t="s">
        <v>17</v>
      </c>
      <c r="Q176" s="166"/>
      <c r="R176" s="167"/>
      <c r="S176" s="168"/>
      <c r="T176" s="164" t="s">
        <v>91</v>
      </c>
      <c r="U176" s="169" t="s">
        <v>90</v>
      </c>
      <c r="V176" s="165" t="s">
        <v>92</v>
      </c>
    </row>
    <row r="177" spans="1:22" ht="15" customHeight="1" thickBot="1" x14ac:dyDescent="0.3">
      <c r="A177" s="417"/>
      <c r="B177" s="418"/>
      <c r="C177" s="419"/>
      <c r="D177" s="183">
        <f>VLOOKUP($A$1,AVAILABLE_Upgrades_Spells[#All],MATCH(A176,AVAILABLE_Upgrades_Spells[#Headers],0))</f>
        <v>1</v>
      </c>
      <c r="E177" s="184">
        <f>VLOOKUP($A$1,AVAILABLE_Upgrades_Spells[#All],MATCH(A176,AVAILABLE_Upgrades_Spells[#Headers],0)+1)</f>
        <v>4</v>
      </c>
      <c r="F177" s="185"/>
      <c r="G177" s="186"/>
      <c r="H177" s="187"/>
      <c r="I177" s="183">
        <f>IF(SUM(B179:B184)&gt;D177,"Error",SUM(B179:B184))</f>
        <v>1</v>
      </c>
      <c r="J177" s="188">
        <f>IF(I$177="Error","Error",D177-I177)</f>
        <v>0</v>
      </c>
      <c r="K177" s="189">
        <f>IF(I$177="Error","Error",SUM(F179:F184))</f>
        <v>0</v>
      </c>
      <c r="L177" s="417"/>
      <c r="M177" s="418"/>
      <c r="N177" s="419"/>
      <c r="O177" s="183">
        <f>VLOOKUP($A$1,AVAILABLE_Upgrades_Spells[#All],MATCH(L176,AVAILABLE_Upgrades_Spells[#Headers],0))</f>
        <v>0</v>
      </c>
      <c r="P177" s="184">
        <f>VLOOKUP($A$1,AVAILABLE_Upgrades_Spells[#All],MATCH(L176,AVAILABLE_Upgrades_Spells[#Headers],0)+1)</f>
        <v>1</v>
      </c>
      <c r="Q177" s="185"/>
      <c r="R177" s="186"/>
      <c r="S177" s="187"/>
      <c r="T177" s="183">
        <f>IF(SUM(M179:M180)&gt;O177,"Error",SUM(M179:M180))</f>
        <v>0</v>
      </c>
      <c r="U177" s="188">
        <f>IF(T$177="Error","Error",O177-T177)</f>
        <v>0</v>
      </c>
      <c r="V177" s="189">
        <f>IF(T$177="Error","Error",SUM(Q179:Q180))</f>
        <v>0</v>
      </c>
    </row>
    <row r="178" spans="1:22" ht="15" customHeight="1" thickBot="1" x14ac:dyDescent="0.3">
      <c r="A178" s="200" t="s">
        <v>14</v>
      </c>
      <c r="B178" s="262" t="s">
        <v>13</v>
      </c>
      <c r="C178" s="202"/>
      <c r="D178" s="202"/>
      <c r="E178" s="203"/>
      <c r="F178" s="204" t="s">
        <v>13</v>
      </c>
      <c r="G178" s="205" t="s">
        <v>14</v>
      </c>
      <c r="H178" s="206" t="s">
        <v>133</v>
      </c>
      <c r="I178" s="206" t="s">
        <v>134</v>
      </c>
      <c r="J178" s="206" t="s">
        <v>74</v>
      </c>
      <c r="K178" s="207" t="s">
        <v>75</v>
      </c>
      <c r="L178" s="200" t="s">
        <v>14</v>
      </c>
      <c r="M178" s="262" t="s">
        <v>13</v>
      </c>
      <c r="N178" s="202"/>
      <c r="O178" s="202"/>
      <c r="P178" s="203"/>
      <c r="Q178" s="204" t="s">
        <v>13</v>
      </c>
      <c r="R178" s="205" t="s">
        <v>14</v>
      </c>
      <c r="S178" s="206" t="s">
        <v>133</v>
      </c>
      <c r="T178" s="206" t="s">
        <v>134</v>
      </c>
      <c r="U178" s="206" t="s">
        <v>74</v>
      </c>
      <c r="V178" s="207" t="s">
        <v>75</v>
      </c>
    </row>
    <row r="179" spans="1:22" ht="15" customHeight="1" x14ac:dyDescent="0.25">
      <c r="A179" s="263">
        <v>1</v>
      </c>
      <c r="B179" s="264" t="str">
        <f>IF(Paramètres!Y5=0,"",Paramètres!Y5)</f>
        <v/>
      </c>
      <c r="C179" s="265">
        <f t="shared" ref="C179:C182" si="76">IF(C178&lt;&gt;0,C178+IF(AND(B178&lt;&gt;"",A178&lt;E$6),B178,0),IF(AND(B178&lt;&gt;"",A178&lt;E$6),B178,0))</f>
        <v>0</v>
      </c>
      <c r="D179" s="217"/>
      <c r="E179" s="218"/>
      <c r="F179" s="219">
        <f>IF(G179&lt;&gt;"/",IF(I$177="Error","Error",$J$177+C179),"/")</f>
        <v>0</v>
      </c>
      <c r="G179" s="220">
        <f>IF(I$177="Error","Error",IF(AND($E$177&lt;&gt;"/",$E$177&gt;Paramètres!$AX2),Paramètres!$AX3,"/"))</f>
        <v>1</v>
      </c>
      <c r="H179" s="195">
        <f>IF(G179&lt;&gt;"/",VLOOKUP(G179,COSTS_Spell_Lightning[#All],2),"/")</f>
        <v>0</v>
      </c>
      <c r="I179" s="194">
        <f>IF(G179&lt;&gt;"/",VLOOKUP(G179,COSTS_Spell_Lightning[#All],3),"/")</f>
        <v>0</v>
      </c>
      <c r="J179" s="195">
        <f>IF(I$177="Error","Error",IF(H179&lt;&gt;"/",F179*H179,0))</f>
        <v>0</v>
      </c>
      <c r="K179" s="221">
        <f>IF(I$177="Error","Error",IF(I179&lt;&gt;"/",F179*I179,0))</f>
        <v>0</v>
      </c>
      <c r="L179" s="263">
        <v>1</v>
      </c>
      <c r="M179" s="264" t="str">
        <f>IF(Paramètres!AB5=0,"",Paramètres!AB5)</f>
        <v/>
      </c>
      <c r="N179" s="265">
        <f>IF(N178&lt;&gt;0,N178+IF(AND(M178&lt;&gt;"",L178&lt;P$6),M178,0),IF(AND(M178&lt;&gt;"",L178&lt;P$6),M178,0))</f>
        <v>0</v>
      </c>
      <c r="O179" s="217"/>
      <c r="P179" s="218"/>
      <c r="Q179" s="219">
        <f>IF(R179&lt;&gt;"/",IF(T$177="Error","Error",$U$177+N179),"/")</f>
        <v>0</v>
      </c>
      <c r="R179" s="220">
        <f>IF(T$177="Error","Error",IF(AND($P$177&lt;&gt;"/",$P$177&gt;Paramètres!$AX2),Paramètres!$AX3,"/"))</f>
        <v>1</v>
      </c>
      <c r="S179" s="195">
        <f>IF(R179&lt;&gt;"/",VLOOKUP(R179,COSTS_Spell_Jump[#All],2),"/")</f>
        <v>0</v>
      </c>
      <c r="T179" s="194">
        <f>IF(R179&lt;&gt;"/",VLOOKUP(R179,COSTS_Spell_Jump[#All],3),"/")</f>
        <v>0</v>
      </c>
      <c r="U179" s="195">
        <f>IF(T$177="Error","Error",IF(S179&lt;&gt;"/",Q179*S179,0))</f>
        <v>0</v>
      </c>
      <c r="V179" s="221">
        <f>IF(T$177="Error","Error",IF(T179&lt;&gt;"/",Q179*T179,0))</f>
        <v>0</v>
      </c>
    </row>
    <row r="180" spans="1:22" ht="15" customHeight="1" thickBot="1" x14ac:dyDescent="0.3">
      <c r="A180" s="266">
        <v>2</v>
      </c>
      <c r="B180" s="264" t="str">
        <f>IF(Paramètres!Y6=0,"",Paramètres!Y6)</f>
        <v/>
      </c>
      <c r="C180" s="265">
        <f t="shared" si="76"/>
        <v>0</v>
      </c>
      <c r="D180" s="227"/>
      <c r="E180" s="228"/>
      <c r="F180" s="219">
        <f>IF(G180&lt;&gt;"/",IF(I$177="Error","Error",$J$177+C180),"/")</f>
        <v>0</v>
      </c>
      <c r="G180" s="220">
        <f>IF(I$177="Error","Error",IF(AND($E$177&lt;&gt;"/",$E$177&gt;Paramètres!$AX3),Paramètres!$AX4,"/"))</f>
        <v>2</v>
      </c>
      <c r="H180" s="195">
        <f>IF(G180&lt;&gt;"/",VLOOKUP(G180,COSTS_Spell_Lightning[#All],2),"/")</f>
        <v>200000</v>
      </c>
      <c r="I180" s="194">
        <f>IF(G180&lt;&gt;"/",VLOOKUP(G180,COSTS_Spell_Lightning[#All],3),"/")</f>
        <v>24</v>
      </c>
      <c r="J180" s="195">
        <f>IF(I$177="Error","Error",IF(H180&lt;&gt;"/",F180*H180,0))</f>
        <v>0</v>
      </c>
      <c r="K180" s="221">
        <f>IF(I$177="Error","Error",IF(I180&lt;&gt;"/",F180*I180,0))</f>
        <v>0</v>
      </c>
      <c r="L180" s="266">
        <v>2</v>
      </c>
      <c r="M180" s="264" t="str">
        <f>IF(Paramètres!AB6=0,"",Paramètres!AB6)</f>
        <v/>
      </c>
      <c r="N180" s="265">
        <f>IF(N179&lt;&gt;0,N179+IF(AND(M179&lt;&gt;"",L179&lt;P$6),M179,0),IF(AND(M179&lt;&gt;"",L179&lt;P$6),M179,0))</f>
        <v>0</v>
      </c>
      <c r="O180" s="227"/>
      <c r="P180" s="228"/>
      <c r="Q180" s="219" t="str">
        <f>IF(R180&lt;&gt;"/",IF(T$177="Error","Error",$U$177+N180),"/")</f>
        <v>/</v>
      </c>
      <c r="R180" s="220" t="str">
        <f>IF(T$177="Error","Error",IF(AND($P$177&lt;&gt;"/",$P$177&gt;Paramètres!$AX3),Paramètres!$AX4,"/"))</f>
        <v>/</v>
      </c>
      <c r="S180" s="195" t="str">
        <f>IF(R180&lt;&gt;"/",VLOOKUP(R180,COSTS_Spell_Jump[#All],2),"/")</f>
        <v>/</v>
      </c>
      <c r="T180" s="194" t="str">
        <f>IF(R180&lt;&gt;"/",VLOOKUP(R180,COSTS_Spell_Jump[#All],3),"/")</f>
        <v>/</v>
      </c>
      <c r="U180" s="195">
        <f>IF(T$177="Error","Error",IF(S180&lt;&gt;"/",Q180*S180,0))</f>
        <v>0</v>
      </c>
      <c r="V180" s="221">
        <f>IF(T$177="Error","Error",IF(T180&lt;&gt;"/",Q180*T180,0))</f>
        <v>0</v>
      </c>
    </row>
    <row r="181" spans="1:22" ht="15" customHeight="1" thickBot="1" x14ac:dyDescent="0.3">
      <c r="A181" s="266">
        <v>3</v>
      </c>
      <c r="B181" s="264" t="str">
        <f>IF(Paramètres!Y7=0,"",Paramètres!Y7)</f>
        <v/>
      </c>
      <c r="C181" s="265">
        <f t="shared" si="76"/>
        <v>0</v>
      </c>
      <c r="D181" s="227"/>
      <c r="E181" s="228"/>
      <c r="F181" s="219">
        <f>IF(G181&lt;&gt;"/",IF(I$177="Error","Error",$J$177+C181),"/")</f>
        <v>0</v>
      </c>
      <c r="G181" s="220">
        <f>IF(I$177="Error","Error",IF(AND($E$177&lt;&gt;"/",$E$177&gt;Paramètres!$AX4),Paramètres!$AX5,"/"))</f>
        <v>3</v>
      </c>
      <c r="H181" s="195">
        <f>IF(G181&lt;&gt;"/",VLOOKUP(G181,COSTS_Spell_Lightning[#All],2),"/")</f>
        <v>500000</v>
      </c>
      <c r="I181" s="194">
        <f>IF(G181&lt;&gt;"/",VLOOKUP(G181,COSTS_Spell_Lightning[#All],3),"/")</f>
        <v>48</v>
      </c>
      <c r="J181" s="195">
        <f>IF(I$177="Error","Error",IF(H181&lt;&gt;"/",F181*H181,0))</f>
        <v>0</v>
      </c>
      <c r="K181" s="221">
        <f>IF(I$177="Error","Error",IF(I181&lt;&gt;"/",F181*I181,0))</f>
        <v>0</v>
      </c>
      <c r="L181" s="420"/>
      <c r="M181" s="421"/>
      <c r="N181" s="421"/>
      <c r="O181" s="421"/>
      <c r="P181" s="421"/>
      <c r="Q181" s="421"/>
      <c r="R181" s="421"/>
      <c r="S181" s="424"/>
      <c r="T181" s="248" t="s">
        <v>15</v>
      </c>
      <c r="U181" s="249">
        <f>IF(T$177="Error","Error",SUM(U179:U180))</f>
        <v>0</v>
      </c>
      <c r="V181" s="250">
        <f>IF(T$177="Error","Error",SUM(V179:V180))</f>
        <v>0</v>
      </c>
    </row>
    <row r="182" spans="1:22" ht="15" customHeight="1" x14ac:dyDescent="0.25">
      <c r="A182" s="266">
        <v>4</v>
      </c>
      <c r="B182" s="264">
        <f>IF(Paramètres!Y8=0,"",Paramètres!Y8)</f>
        <v>1</v>
      </c>
      <c r="C182" s="265">
        <f t="shared" si="76"/>
        <v>0</v>
      </c>
      <c r="D182" s="227"/>
      <c r="E182" s="228"/>
      <c r="F182" s="219">
        <f>IF(G182&lt;&gt;"/",IF(I$177="Error","Error",$J$177+C182),"/")</f>
        <v>0</v>
      </c>
      <c r="G182" s="220">
        <f>IF(I$177="Error","Error",IF(AND($E$177&lt;&gt;"/",$E$177&gt;Paramètres!$AX5),Paramètres!$AX6,"/"))</f>
        <v>4</v>
      </c>
      <c r="H182" s="195">
        <f>IF(G182&lt;&gt;"/",VLOOKUP(G182,COSTS_Spell_Lightning[#All],2),"/")</f>
        <v>1000000</v>
      </c>
      <c r="I182" s="194">
        <f>IF(G182&lt;&gt;"/",VLOOKUP(G182,COSTS_Spell_Lightning[#All],3),"/")</f>
        <v>72</v>
      </c>
      <c r="J182" s="195">
        <f>IF(I$177="Error","Error",IF(H182&lt;&gt;"/",F182*H182,0))</f>
        <v>0</v>
      </c>
      <c r="K182" s="221">
        <f>IF(I$177="Error","Error",IF(I182&lt;&gt;"/",F182*I182,0))</f>
        <v>0</v>
      </c>
      <c r="L182" s="414" t="s">
        <v>104</v>
      </c>
      <c r="M182" s="415"/>
      <c r="N182" s="416"/>
      <c r="O182" s="164" t="s">
        <v>16</v>
      </c>
      <c r="P182" s="165" t="s">
        <v>17</v>
      </c>
      <c r="Q182" s="166"/>
      <c r="R182" s="167"/>
      <c r="S182" s="168"/>
      <c r="T182" s="164" t="s">
        <v>91</v>
      </c>
      <c r="U182" s="169" t="s">
        <v>90</v>
      </c>
      <c r="V182" s="165" t="s">
        <v>92</v>
      </c>
    </row>
    <row r="183" spans="1:22" ht="15" customHeight="1" thickBot="1" x14ac:dyDescent="0.3">
      <c r="A183" s="266">
        <v>5</v>
      </c>
      <c r="B183" s="264" t="str">
        <f>IF(Paramètres!Y9=0,"",Paramètres!Y9)</f>
        <v/>
      </c>
      <c r="C183" s="265">
        <f t="shared" ref="C183:C184" si="77">IF(C182&lt;&gt;0,C182+IF(AND(B182&lt;&gt;"",A182&lt;E$6),B182,0),IF(AND(B182&lt;&gt;"",A182&lt;E$6),B182,0))</f>
        <v>1</v>
      </c>
      <c r="D183" s="227"/>
      <c r="E183" s="228"/>
      <c r="F183" s="219" t="str">
        <f t="shared" ref="F183:F184" si="78">IF(G183&lt;&gt;"/",IF(I$177="Error","Error",$J$177+C183),"/")</f>
        <v>/</v>
      </c>
      <c r="G183" s="220" t="str">
        <f>IF(I$177="Error","Error",IF(AND($E$177&lt;&gt;"/",$E$177&gt;Paramètres!$AX6),Paramètres!$AX7,"/"))</f>
        <v>/</v>
      </c>
      <c r="H183" s="195" t="str">
        <f>IF(G183&lt;&gt;"/",VLOOKUP(G183,COSTS_Spell_Lightning[#All],2),"/")</f>
        <v>/</v>
      </c>
      <c r="I183" s="194" t="str">
        <f>IF(G183&lt;&gt;"/",VLOOKUP(G183,COSTS_Spell_Lightning[#All],3),"/")</f>
        <v>/</v>
      </c>
      <c r="J183" s="195">
        <f t="shared" ref="J183:J184" si="79">IF(I$177="Error","Error",IF(H183&lt;&gt;"/",F183*H183,0))</f>
        <v>0</v>
      </c>
      <c r="K183" s="221">
        <f t="shared" ref="K183:K184" si="80">IF(I$177="Error","Error",IF(I183&lt;&gt;"/",F183*I183,0))</f>
        <v>0</v>
      </c>
      <c r="L183" s="417"/>
      <c r="M183" s="418"/>
      <c r="N183" s="419"/>
      <c r="O183" s="183">
        <f>VLOOKUP($A$1,AVAILABLE_Upgrades_Spells[#All],MATCH(L182,AVAILABLE_Upgrades_Spells[#Headers],0))</f>
        <v>0</v>
      </c>
      <c r="P183" s="184">
        <f>VLOOKUP($A$1,AVAILABLE_Upgrades_Spells[#All],MATCH(L182,AVAILABLE_Upgrades_Spells[#Headers],0)+1)</f>
        <v>0</v>
      </c>
      <c r="Q183" s="185"/>
      <c r="R183" s="186"/>
      <c r="S183" s="187"/>
      <c r="T183" s="183">
        <f>IF(SUM(M185:M186)&gt;O183,"Error",SUM(M185:M186))</f>
        <v>0</v>
      </c>
      <c r="U183" s="188">
        <f>IF(T$183="Error","Error",O183-T183)</f>
        <v>0</v>
      </c>
      <c r="V183" s="189">
        <f>IF(T$183="Error","Error",SUM(Q185:Q186))</f>
        <v>0</v>
      </c>
    </row>
    <row r="184" spans="1:22" ht="15" customHeight="1" thickBot="1" x14ac:dyDescent="0.3">
      <c r="A184" s="266">
        <v>6</v>
      </c>
      <c r="B184" s="264" t="str">
        <f>IF(Paramètres!Y10=0,"",Paramètres!Y10)</f>
        <v/>
      </c>
      <c r="C184" s="265">
        <f t="shared" si="77"/>
        <v>1</v>
      </c>
      <c r="D184" s="227"/>
      <c r="E184" s="228"/>
      <c r="F184" s="219" t="str">
        <f t="shared" si="78"/>
        <v>/</v>
      </c>
      <c r="G184" s="220" t="str">
        <f>IF(I$177="Error","Error",IF(AND($E$177&lt;&gt;"/",$E$177&gt;Paramètres!$AX7),Paramètres!$AX8,"/"))</f>
        <v>/</v>
      </c>
      <c r="H184" s="195" t="str">
        <f>IF(G184&lt;&gt;"/",VLOOKUP(G184,COSTS_Spell_Lightning[#All],2),"/")</f>
        <v>/</v>
      </c>
      <c r="I184" s="194" t="str">
        <f>IF(G184&lt;&gt;"/",VLOOKUP(G184,COSTS_Spell_Lightning[#All],3),"/")</f>
        <v>/</v>
      </c>
      <c r="J184" s="195">
        <f t="shared" si="79"/>
        <v>0</v>
      </c>
      <c r="K184" s="221">
        <f t="shared" si="80"/>
        <v>0</v>
      </c>
      <c r="L184" s="200" t="s">
        <v>14</v>
      </c>
      <c r="M184" s="262" t="s">
        <v>13</v>
      </c>
      <c r="N184" s="202"/>
      <c r="O184" s="202"/>
      <c r="P184" s="203"/>
      <c r="Q184" s="204" t="s">
        <v>13</v>
      </c>
      <c r="R184" s="205" t="s">
        <v>14</v>
      </c>
      <c r="S184" s="206" t="s">
        <v>133</v>
      </c>
      <c r="T184" s="206" t="s">
        <v>134</v>
      </c>
      <c r="U184" s="206" t="s">
        <v>74</v>
      </c>
      <c r="V184" s="207" t="s">
        <v>75</v>
      </c>
    </row>
    <row r="185" spans="1:22" ht="15" customHeight="1" thickBot="1" x14ac:dyDescent="0.3">
      <c r="A185" s="420"/>
      <c r="B185" s="421"/>
      <c r="C185" s="421"/>
      <c r="D185" s="421"/>
      <c r="E185" s="421"/>
      <c r="F185" s="421"/>
      <c r="G185" s="421"/>
      <c r="H185" s="424"/>
      <c r="I185" s="248" t="s">
        <v>15</v>
      </c>
      <c r="J185" s="249">
        <f>IF(I$177="Error","Error",SUM(J179:J184))</f>
        <v>0</v>
      </c>
      <c r="K185" s="250">
        <f>IF(I$177="Error","Error",SUM(K179:K184))</f>
        <v>0</v>
      </c>
      <c r="L185" s="263">
        <v>1</v>
      </c>
      <c r="M185" s="264" t="str">
        <f>IF(Paramètres!AC5=0,"",Paramètres!AC5)</f>
        <v/>
      </c>
      <c r="N185" s="265">
        <f>IF(N184&lt;&gt;0,N184+IF(AND(M184&lt;&gt;"",L184&lt;P$6),M184,0),IF(AND(M184&lt;&gt;"",L184&lt;P$6),M184,0))</f>
        <v>0</v>
      </c>
      <c r="O185" s="217"/>
      <c r="P185" s="218"/>
      <c r="Q185" s="219" t="str">
        <f>IF(R185&lt;&gt;"/",IF(T$183="Error","Error",$U$183+N185),"/")</f>
        <v>/</v>
      </c>
      <c r="R185" s="220" t="str">
        <f>IF(T$183="Error","Error",IF(AND($P$183&lt;&gt;"/",$P$183&gt;Paramètres!$AX2),Paramètres!$AX3,"/"))</f>
        <v>/</v>
      </c>
      <c r="S185" s="195" t="str">
        <f>IF(R185&lt;&gt;"/",VLOOKUP(R185,COSTS_Spell_Freeze[#All],2),"/")</f>
        <v>/</v>
      </c>
      <c r="T185" s="194" t="str">
        <f>IF(R185&lt;&gt;"/",VLOOKUP(R185,COSTS_Spell_Freeze[#All],3),"/")</f>
        <v>/</v>
      </c>
      <c r="U185" s="195">
        <f>IF(T$183="Error","Error",IF(S185&lt;&gt;"/",Q185*S185,0))</f>
        <v>0</v>
      </c>
      <c r="V185" s="221">
        <f>IF(T$183="Error","Error",IF(T185&lt;&gt;"/",Q185*T185,0))</f>
        <v>0</v>
      </c>
    </row>
    <row r="186" spans="1:22" ht="15" customHeight="1" thickBot="1" x14ac:dyDescent="0.3">
      <c r="A186" s="414" t="s">
        <v>101</v>
      </c>
      <c r="B186" s="415"/>
      <c r="C186" s="416"/>
      <c r="D186" s="164" t="s">
        <v>16</v>
      </c>
      <c r="E186" s="165" t="s">
        <v>17</v>
      </c>
      <c r="F186" s="166"/>
      <c r="G186" s="167"/>
      <c r="H186" s="168"/>
      <c r="I186" s="164" t="s">
        <v>91</v>
      </c>
      <c r="J186" s="169" t="s">
        <v>90</v>
      </c>
      <c r="K186" s="165" t="s">
        <v>92</v>
      </c>
      <c r="L186" s="266">
        <v>2</v>
      </c>
      <c r="M186" s="264" t="str">
        <f>IF(Paramètres!AC6=0,"",Paramètres!AC6)</f>
        <v/>
      </c>
      <c r="N186" s="265">
        <f>IF(N185&lt;&gt;0,N185+IF(AND(M185&lt;&gt;"",L185&lt;P$6),M185,0),IF(AND(M185&lt;&gt;"",L185&lt;P$6),M185,0))</f>
        <v>0</v>
      </c>
      <c r="O186" s="227"/>
      <c r="P186" s="228"/>
      <c r="Q186" s="219" t="str">
        <f>IF(R186&lt;&gt;"/",IF(T$183="Error","Error",$U$183+N186),"/")</f>
        <v>/</v>
      </c>
      <c r="R186" s="220" t="str">
        <f>IF(T$183="Error","Error",IF(AND($P$183&lt;&gt;"/",$P$183&gt;Paramètres!$AX3),Paramètres!$AX4,"/"))</f>
        <v>/</v>
      </c>
      <c r="S186" s="195" t="str">
        <f>IF(R186&lt;&gt;"/",VLOOKUP(R186,COSTS_Spell_Freeze[#All],2),"/")</f>
        <v>/</v>
      </c>
      <c r="T186" s="194" t="str">
        <f>IF(R186&lt;&gt;"/",VLOOKUP(R186,COSTS_Spell_Freeze[#All],3),"/")</f>
        <v>/</v>
      </c>
      <c r="U186" s="195">
        <f>IF(T$183="Error","Error",IF(S186&lt;&gt;"/",Q186*S186,0))</f>
        <v>0</v>
      </c>
      <c r="V186" s="221">
        <f>IF(T$183="Error","Error",IF(T186&lt;&gt;"/",Q186*T186,0))</f>
        <v>0</v>
      </c>
    </row>
    <row r="187" spans="1:22" ht="15" customHeight="1" thickBot="1" x14ac:dyDescent="0.3">
      <c r="A187" s="417"/>
      <c r="B187" s="418"/>
      <c r="C187" s="419"/>
      <c r="D187" s="183">
        <f>VLOOKUP($A$1,AVAILABLE_Upgrades_Spells[#All],MATCH(A186,AVAILABLE_Upgrades_Spells[#Headers],0))</f>
        <v>1</v>
      </c>
      <c r="E187" s="184">
        <f>VLOOKUP($A$1,AVAILABLE_Upgrades_Spells[#All],MATCH(A186,AVAILABLE_Upgrades_Spells[#Headers],0)+1)</f>
        <v>4</v>
      </c>
      <c r="F187" s="185"/>
      <c r="G187" s="186"/>
      <c r="H187" s="187"/>
      <c r="I187" s="183">
        <f>IF(SUM(B189:B194)&gt;D187,"Error",SUM(B189:B194))</f>
        <v>1</v>
      </c>
      <c r="J187" s="188">
        <f>IF(I$187="Error","Error",D187-I187)</f>
        <v>0</v>
      </c>
      <c r="K187" s="189">
        <f>IF(I$187="Error","Error",SUM(F189:F194))</f>
        <v>1</v>
      </c>
      <c r="L187" s="420"/>
      <c r="M187" s="421"/>
      <c r="N187" s="421"/>
      <c r="O187" s="421"/>
      <c r="P187" s="421"/>
      <c r="Q187" s="421"/>
      <c r="R187" s="421"/>
      <c r="S187" s="424"/>
      <c r="T187" s="248" t="s">
        <v>15</v>
      </c>
      <c r="U187" s="249">
        <f>IF(T$183="Error","Error",SUM(U185:U186))</f>
        <v>0</v>
      </c>
      <c r="V187" s="250">
        <f>IF(T$183="Error","Error",SUM(V185:V186))</f>
        <v>0</v>
      </c>
    </row>
    <row r="188" spans="1:22" ht="15" customHeight="1" thickBot="1" x14ac:dyDescent="0.3">
      <c r="A188" s="200" t="s">
        <v>14</v>
      </c>
      <c r="B188" s="262" t="s">
        <v>13</v>
      </c>
      <c r="C188" s="202"/>
      <c r="D188" s="202"/>
      <c r="E188" s="203"/>
      <c r="F188" s="204" t="s">
        <v>13</v>
      </c>
      <c r="G188" s="205" t="s">
        <v>14</v>
      </c>
      <c r="H188" s="206" t="s">
        <v>133</v>
      </c>
      <c r="I188" s="206" t="s">
        <v>134</v>
      </c>
      <c r="J188" s="206" t="s">
        <v>74</v>
      </c>
      <c r="K188" s="207" t="s">
        <v>75</v>
      </c>
    </row>
    <row r="189" spans="1:22" ht="15" customHeight="1" x14ac:dyDescent="0.25">
      <c r="A189" s="263">
        <v>1</v>
      </c>
      <c r="B189" s="264" t="str">
        <f>IF(Paramètres!Z5=0,"",Paramètres!Z5)</f>
        <v/>
      </c>
      <c r="C189" s="265">
        <f t="shared" ref="C189:C192" si="81">IF(C188&lt;&gt;0,C188+IF(AND(B188&lt;&gt;"",A188&lt;E$6),B188,0),IF(AND(B188&lt;&gt;"",A188&lt;E$6),B188,0))</f>
        <v>0</v>
      </c>
      <c r="D189" s="217"/>
      <c r="E189" s="218"/>
      <c r="F189" s="219">
        <f>IF(G189&lt;&gt;"/",IF(I$187="Error","Error",$J$187+C189),"/")</f>
        <v>0</v>
      </c>
      <c r="G189" s="220">
        <f>IF(I$187="Error","Error",IF(AND($E$187&lt;&gt;"/",$E$187&gt;Paramètres!$AX2),Paramètres!$AX3,"/"))</f>
        <v>1</v>
      </c>
      <c r="H189" s="195">
        <f>IF(G189&lt;&gt;"/",VLOOKUP(G189,COSTS_Spell_Healing[#All],2),"/")</f>
        <v>0</v>
      </c>
      <c r="I189" s="194">
        <f>IF(G189&lt;&gt;"/",VLOOKUP(G189,COSTS_Spell_Healing[#All],3),"/")</f>
        <v>0</v>
      </c>
      <c r="J189" s="195">
        <f>IF(I$187="Error","Error",IF(H189&lt;&gt;"/",F189*H189,0))</f>
        <v>0</v>
      </c>
      <c r="K189" s="221">
        <f>IF(I$187="Error","Error",IF(I189&lt;&gt;"/",F189*I189,0))</f>
        <v>0</v>
      </c>
    </row>
    <row r="190" spans="1:22" ht="15" customHeight="1" x14ac:dyDescent="0.25">
      <c r="A190" s="266">
        <v>2</v>
      </c>
      <c r="B190" s="264" t="str">
        <f>IF(Paramètres!Z6=0,"",Paramètres!Z6)</f>
        <v/>
      </c>
      <c r="C190" s="265">
        <f t="shared" si="81"/>
        <v>0</v>
      </c>
      <c r="D190" s="227"/>
      <c r="E190" s="228"/>
      <c r="F190" s="219">
        <f>IF(G190&lt;&gt;"/",IF(I$187="Error","Error",$J$187+C190),"/")</f>
        <v>0</v>
      </c>
      <c r="G190" s="220">
        <f>IF(I$187="Error","Error",IF(AND($E$187&lt;&gt;"/",$E$187&gt;Paramètres!$AX3),Paramètres!$AX4,"/"))</f>
        <v>2</v>
      </c>
      <c r="H190" s="195">
        <f>IF(G190&lt;&gt;"/",VLOOKUP(G190,COSTS_Spell_Healing[#All],2),"/")</f>
        <v>300000</v>
      </c>
      <c r="I190" s="194">
        <f>IF(G190&lt;&gt;"/",VLOOKUP(G190,COSTS_Spell_Healing[#All],3),"/")</f>
        <v>24</v>
      </c>
      <c r="J190" s="195">
        <f>IF(I$187="Error","Error",IF(H190&lt;&gt;"/",F190*H190,0))</f>
        <v>0</v>
      </c>
      <c r="K190" s="221">
        <f>IF(I$187="Error","Error",IF(I190&lt;&gt;"/",F190*I190,0))</f>
        <v>0</v>
      </c>
    </row>
    <row r="191" spans="1:22" ht="15" customHeight="1" x14ac:dyDescent="0.25">
      <c r="A191" s="266">
        <v>3</v>
      </c>
      <c r="B191" s="264">
        <f>IF(Paramètres!Z7=0,"",Paramètres!Z7)</f>
        <v>1</v>
      </c>
      <c r="C191" s="265">
        <f t="shared" si="81"/>
        <v>0</v>
      </c>
      <c r="D191" s="227"/>
      <c r="E191" s="228"/>
      <c r="F191" s="219">
        <f>IF(G191&lt;&gt;"/",IF(I$187="Error","Error",$J$187+C191),"/")</f>
        <v>0</v>
      </c>
      <c r="G191" s="220">
        <f>IF(I$187="Error","Error",IF(AND($E$187&lt;&gt;"/",$E$187&gt;Paramètres!$AX4),Paramètres!$AX5,"/"))</f>
        <v>3</v>
      </c>
      <c r="H191" s="195">
        <f>IF(G191&lt;&gt;"/",VLOOKUP(G191,COSTS_Spell_Healing[#All],2),"/")</f>
        <v>600000</v>
      </c>
      <c r="I191" s="194">
        <f>IF(G191&lt;&gt;"/",VLOOKUP(G191,COSTS_Spell_Healing[#All],3),"/")</f>
        <v>48</v>
      </c>
      <c r="J191" s="195">
        <f>IF(I$187="Error","Error",IF(H191&lt;&gt;"/",F191*H191,0))</f>
        <v>0</v>
      </c>
      <c r="K191" s="221">
        <f>IF(I$187="Error","Error",IF(I191&lt;&gt;"/",F191*I191,0))</f>
        <v>0</v>
      </c>
    </row>
    <row r="192" spans="1:22" ht="15" customHeight="1" x14ac:dyDescent="0.25">
      <c r="A192" s="266">
        <v>4</v>
      </c>
      <c r="B192" s="264" t="str">
        <f>IF(Paramètres!Z8=0,"",Paramètres!Z8)</f>
        <v/>
      </c>
      <c r="C192" s="265">
        <f t="shared" si="81"/>
        <v>1</v>
      </c>
      <c r="D192" s="227"/>
      <c r="E192" s="228"/>
      <c r="F192" s="219">
        <f>IF(G192&lt;&gt;"/",IF(I$187="Error","Error",$J$187+C192),"/")</f>
        <v>1</v>
      </c>
      <c r="G192" s="220">
        <f>IF(I$187="Error","Error",IF(AND($E$187&lt;&gt;"/",$E$187&gt;Paramètres!$AX5),Paramètres!$AX6,"/"))</f>
        <v>4</v>
      </c>
      <c r="H192" s="195">
        <f>IF(G192&lt;&gt;"/",VLOOKUP(G192,COSTS_Spell_Healing[#All],2),"/")</f>
        <v>1200000</v>
      </c>
      <c r="I192" s="194">
        <f>IF(G192&lt;&gt;"/",VLOOKUP(G192,COSTS_Spell_Healing[#All],3),"/")</f>
        <v>72</v>
      </c>
      <c r="J192" s="195">
        <f>IF(I$187="Error","Error",IF(H192&lt;&gt;"/",F192*H192,0))</f>
        <v>1200000</v>
      </c>
      <c r="K192" s="221">
        <f>IF(I$187="Error","Error",IF(I192&lt;&gt;"/",F192*I192,0))</f>
        <v>72</v>
      </c>
    </row>
    <row r="193" spans="1:22" ht="15" customHeight="1" x14ac:dyDescent="0.25">
      <c r="A193" s="266">
        <v>5</v>
      </c>
      <c r="B193" s="264" t="str">
        <f>IF(Paramètres!Z9=0,"",Paramètres!Z9)</f>
        <v/>
      </c>
      <c r="C193" s="265">
        <f t="shared" ref="C193:C194" si="82">IF(C192&lt;&gt;0,C192+IF(AND(B192&lt;&gt;"",A192&lt;E$6),B192,0),IF(AND(B192&lt;&gt;"",A192&lt;E$6),B192,0))</f>
        <v>1</v>
      </c>
      <c r="D193" s="227"/>
      <c r="E193" s="228"/>
      <c r="F193" s="219" t="str">
        <f t="shared" ref="F193:F194" si="83">IF(G193&lt;&gt;"/",IF(I$187="Error","Error",$J$187+C193),"/")</f>
        <v>/</v>
      </c>
      <c r="G193" s="220" t="str">
        <f>IF(I$187="Error","Error",IF(AND($E$187&lt;&gt;"/",$E$187&gt;Paramètres!$AX6),Paramètres!$AX7,"/"))</f>
        <v>/</v>
      </c>
      <c r="H193" s="195" t="str">
        <f>IF(G193&lt;&gt;"/",VLOOKUP(G193,COSTS_Spell_Healing[#All],2),"/")</f>
        <v>/</v>
      </c>
      <c r="I193" s="194" t="str">
        <f>IF(G193&lt;&gt;"/",VLOOKUP(G193,COSTS_Spell_Healing[#All],3),"/")</f>
        <v>/</v>
      </c>
      <c r="J193" s="195">
        <f t="shared" ref="J193:J194" si="84">IF(I$187="Error","Error",IF(H193&lt;&gt;"/",F193*H193,0))</f>
        <v>0</v>
      </c>
      <c r="K193" s="221">
        <f t="shared" ref="K193:K194" si="85">IF(I$187="Error","Error",IF(I193&lt;&gt;"/",F193*I193,0))</f>
        <v>0</v>
      </c>
    </row>
    <row r="194" spans="1:22" ht="15" customHeight="1" thickBot="1" x14ac:dyDescent="0.3">
      <c r="A194" s="266">
        <v>6</v>
      </c>
      <c r="B194" s="264" t="str">
        <f>IF(Paramètres!Z10=0,"",Paramètres!Z10)</f>
        <v/>
      </c>
      <c r="C194" s="265">
        <f t="shared" si="82"/>
        <v>1</v>
      </c>
      <c r="D194" s="227"/>
      <c r="E194" s="228"/>
      <c r="F194" s="219" t="str">
        <f t="shared" si="83"/>
        <v>/</v>
      </c>
      <c r="G194" s="220" t="str">
        <f>IF(I$187="Error","Error",IF(AND($E$187&lt;&gt;"/",$E$187&gt;Paramètres!$AX7),Paramètres!$AX8,"/"))</f>
        <v>/</v>
      </c>
      <c r="H194" s="195" t="str">
        <f>IF(G194&lt;&gt;"/",VLOOKUP(G194,COSTS_Spell_Healing[#All],2),"/")</f>
        <v>/</v>
      </c>
      <c r="I194" s="194" t="str">
        <f>IF(G194&lt;&gt;"/",VLOOKUP(G194,COSTS_Spell_Healing[#All],3),"/")</f>
        <v>/</v>
      </c>
      <c r="J194" s="195">
        <f t="shared" si="84"/>
        <v>0</v>
      </c>
      <c r="K194" s="221">
        <f t="shared" si="85"/>
        <v>0</v>
      </c>
    </row>
    <row r="195" spans="1:22" ht="15" customHeight="1" thickBot="1" x14ac:dyDescent="0.3">
      <c r="A195" s="420"/>
      <c r="B195" s="421"/>
      <c r="C195" s="421"/>
      <c r="D195" s="421"/>
      <c r="E195" s="421"/>
      <c r="F195" s="421"/>
      <c r="G195" s="421"/>
      <c r="H195" s="424"/>
      <c r="I195" s="248" t="s">
        <v>15</v>
      </c>
      <c r="J195" s="249">
        <f>IF(I$187="Error","Error",SUM(J189:J194))</f>
        <v>1200000</v>
      </c>
      <c r="K195" s="250">
        <f>IF(I$187="Error","Error",SUM(K189:K194))</f>
        <v>72</v>
      </c>
    </row>
    <row r="196" spans="1:22" ht="15" customHeight="1" x14ac:dyDescent="0.25">
      <c r="A196" s="414" t="s">
        <v>102</v>
      </c>
      <c r="B196" s="415"/>
      <c r="C196" s="416"/>
      <c r="D196" s="164" t="s">
        <v>16</v>
      </c>
      <c r="E196" s="165" t="s">
        <v>17</v>
      </c>
      <c r="F196" s="166"/>
      <c r="G196" s="167"/>
      <c r="H196" s="168"/>
      <c r="I196" s="164" t="s">
        <v>91</v>
      </c>
      <c r="J196" s="169" t="s">
        <v>90</v>
      </c>
      <c r="K196" s="165" t="s">
        <v>92</v>
      </c>
    </row>
    <row r="197" spans="1:22" ht="15" customHeight="1" thickBot="1" x14ac:dyDescent="0.3">
      <c r="A197" s="417"/>
      <c r="B197" s="418"/>
      <c r="C197" s="419"/>
      <c r="D197" s="183">
        <f>VLOOKUP($A$1,AVAILABLE_Upgrades_Spells[#All],MATCH(A196,AVAILABLE_Upgrades_Spells[#Headers],0))</f>
        <v>1</v>
      </c>
      <c r="E197" s="184">
        <f>VLOOKUP($A$1,AVAILABLE_Upgrades_Spells[#All],MATCH(A196,AVAILABLE_Upgrades_Spells[#Headers],0)+1)</f>
        <v>4</v>
      </c>
      <c r="F197" s="185"/>
      <c r="G197" s="186"/>
      <c r="H197" s="187"/>
      <c r="I197" s="183">
        <f>IF(SUM(B199:B203)&gt;D197,"Error",SUM(B199:B203))</f>
        <v>1</v>
      </c>
      <c r="J197" s="188">
        <f>IF(I$197="Error","Error",D197-I197)</f>
        <v>0</v>
      </c>
      <c r="K197" s="189">
        <f>IF(I$197="Error","Error",SUM(F199:F203))</f>
        <v>3</v>
      </c>
    </row>
    <row r="198" spans="1:22" ht="15" customHeight="1" thickBot="1" x14ac:dyDescent="0.3">
      <c r="A198" s="200" t="s">
        <v>14</v>
      </c>
      <c r="B198" s="262" t="s">
        <v>13</v>
      </c>
      <c r="C198" s="202"/>
      <c r="D198" s="202"/>
      <c r="E198" s="203"/>
      <c r="F198" s="204" t="s">
        <v>13</v>
      </c>
      <c r="G198" s="205" t="s">
        <v>14</v>
      </c>
      <c r="H198" s="206" t="s">
        <v>3</v>
      </c>
      <c r="I198" s="206" t="s">
        <v>4</v>
      </c>
      <c r="J198" s="206" t="s">
        <v>19</v>
      </c>
      <c r="K198" s="207" t="s">
        <v>18</v>
      </c>
    </row>
    <row r="199" spans="1:22" ht="15" customHeight="1" x14ac:dyDescent="0.25">
      <c r="A199" s="263">
        <v>1</v>
      </c>
      <c r="B199" s="264">
        <f>IF(Paramètres!AA5=0,"",Paramètres!AA5)</f>
        <v>1</v>
      </c>
      <c r="C199" s="265">
        <f t="shared" ref="C199:C203" si="86">IF(C198&lt;&gt;0,C198+IF(AND(B198&lt;&gt;"",A198&lt;E$6),B198,0),IF(AND(B198&lt;&gt;"",A198&lt;E$6),B198,0))</f>
        <v>0</v>
      </c>
      <c r="D199" s="217"/>
      <c r="E199" s="218"/>
      <c r="F199" s="219">
        <f>IF(G199&lt;&gt;"/",IF(I$197="Error","Error",$J$197+C199),"/")</f>
        <v>0</v>
      </c>
      <c r="G199" s="220">
        <f>IF(I$197="Error","Error",IF(AND($E$197&lt;&gt;"/",$E$197&gt;Paramètres!$AX2),Paramètres!$AX3,"/"))</f>
        <v>1</v>
      </c>
      <c r="H199" s="195">
        <f>IF(G199&lt;&gt;"/",VLOOKUP(G199,COSTS_Spell_Rage[#All],2),"/")</f>
        <v>0</v>
      </c>
      <c r="I199" s="194">
        <f>IF(G199&lt;&gt;"/",VLOOKUP(G199,COSTS_Spell_Rage[#All],3),"/")</f>
        <v>0</v>
      </c>
      <c r="J199" s="195">
        <f>IF(I$197="Error","Error",IF(H199&lt;&gt;"/",F199*H199,0))</f>
        <v>0</v>
      </c>
      <c r="K199" s="221">
        <f>IF(I$197="Error","Error",IF(I199&lt;&gt;"/",F199*I199,0))</f>
        <v>0</v>
      </c>
    </row>
    <row r="200" spans="1:22" ht="15" customHeight="1" x14ac:dyDescent="0.25">
      <c r="A200" s="266">
        <v>2</v>
      </c>
      <c r="B200" s="264" t="str">
        <f>IF(Paramètres!AA6=0,"",Paramètres!AA6)</f>
        <v/>
      </c>
      <c r="C200" s="265">
        <f t="shared" si="86"/>
        <v>1</v>
      </c>
      <c r="D200" s="227"/>
      <c r="E200" s="228"/>
      <c r="F200" s="219">
        <f>IF(G200&lt;&gt;"/",IF(I$197="Error","Error",$J$197+C200),"/")</f>
        <v>1</v>
      </c>
      <c r="G200" s="220">
        <f>IF(I$197="Error","Error",IF(AND($E$197&lt;&gt;"/",$E$197&gt;Paramètres!$AX3),Paramètres!$AX4,"/"))</f>
        <v>2</v>
      </c>
      <c r="H200" s="195">
        <f>IF(G200&lt;&gt;"/",VLOOKUP(G200,COSTS_Spell_Rage[#All],2),"/")</f>
        <v>450000</v>
      </c>
      <c r="I200" s="194">
        <f>IF(G200&lt;&gt;"/",VLOOKUP(G200,COSTS_Spell_Rage[#All],3),"/")</f>
        <v>48</v>
      </c>
      <c r="J200" s="195">
        <f>IF(I$197="Error","Error",IF(H200&lt;&gt;"/",F200*H200,0))</f>
        <v>450000</v>
      </c>
      <c r="K200" s="221">
        <f>IF(I$197="Error","Error",IF(I200&lt;&gt;"/",F200*I200,0))</f>
        <v>48</v>
      </c>
    </row>
    <row r="201" spans="1:22" ht="15" customHeight="1" x14ac:dyDescent="0.25">
      <c r="A201" s="266">
        <v>3</v>
      </c>
      <c r="B201" s="264" t="str">
        <f>IF(Paramètres!AA7=0,"",Paramètres!AA7)</f>
        <v/>
      </c>
      <c r="C201" s="265">
        <f t="shared" si="86"/>
        <v>1</v>
      </c>
      <c r="D201" s="227"/>
      <c r="E201" s="228"/>
      <c r="F201" s="219">
        <f>IF(G201&lt;&gt;"/",IF(I$197="Error","Error",$J$197+C201),"/")</f>
        <v>1</v>
      </c>
      <c r="G201" s="220">
        <f>IF(I$197="Error","Error",IF(AND($E$197&lt;&gt;"/",$E$197&gt;Paramètres!$AX4),Paramètres!$AX5,"/"))</f>
        <v>3</v>
      </c>
      <c r="H201" s="195">
        <f>IF(G201&lt;&gt;"/",VLOOKUP(G201,COSTS_Spell_Rage[#All],2),"/")</f>
        <v>900000</v>
      </c>
      <c r="I201" s="194">
        <f>IF(G201&lt;&gt;"/",VLOOKUP(G201,COSTS_Spell_Rage[#All],3),"/")</f>
        <v>72</v>
      </c>
      <c r="J201" s="195">
        <f>IF(I$197="Error","Error",IF(H201&lt;&gt;"/",F201*H201,0))</f>
        <v>900000</v>
      </c>
      <c r="K201" s="221">
        <f>IF(I$197="Error","Error",IF(I201&lt;&gt;"/",F201*I201,0))</f>
        <v>72</v>
      </c>
    </row>
    <row r="202" spans="1:22" ht="15" customHeight="1" x14ac:dyDescent="0.25">
      <c r="A202" s="266">
        <v>4</v>
      </c>
      <c r="B202" s="264" t="str">
        <f>IF(Paramètres!AA8=0,"",Paramètres!AA8)</f>
        <v/>
      </c>
      <c r="C202" s="265">
        <f t="shared" si="86"/>
        <v>1</v>
      </c>
      <c r="D202" s="227"/>
      <c r="E202" s="228"/>
      <c r="F202" s="219">
        <f>IF(G202&lt;&gt;"/",IF(I$197="Error","Error",$J$197+C202),"/")</f>
        <v>1</v>
      </c>
      <c r="G202" s="220">
        <f>IF(I$197="Error","Error",IF(AND($E$197&lt;&gt;"/",$E$197&gt;Paramètres!$AX5),Paramètres!$AX6,"/"))</f>
        <v>4</v>
      </c>
      <c r="H202" s="195">
        <f>IF(G202&lt;&gt;"/",VLOOKUP(G202,COSTS_Spell_Rage[#All],2),"/")</f>
        <v>1800000</v>
      </c>
      <c r="I202" s="194">
        <f>IF(G202&lt;&gt;"/",VLOOKUP(G202,COSTS_Spell_Rage[#All],3),"/")</f>
        <v>120</v>
      </c>
      <c r="J202" s="195">
        <f>IF(I$197="Error","Error",IF(H202&lt;&gt;"/",F202*H202,0))</f>
        <v>1800000</v>
      </c>
      <c r="K202" s="221">
        <f>IF(I$197="Error","Error",IF(I202&lt;&gt;"/",F202*I202,0))</f>
        <v>120</v>
      </c>
    </row>
    <row r="203" spans="1:22" ht="15" customHeight="1" thickBot="1" x14ac:dyDescent="0.3">
      <c r="A203" s="266">
        <v>5</v>
      </c>
      <c r="B203" s="264" t="str">
        <f>IF(Paramètres!AA9=0,"",Paramètres!AA9)</f>
        <v/>
      </c>
      <c r="C203" s="265">
        <f t="shared" si="86"/>
        <v>1</v>
      </c>
      <c r="D203" s="227"/>
      <c r="E203" s="228"/>
      <c r="F203" s="219" t="str">
        <f>IF(G203&lt;&gt;"/",IF(I$197="Error","Error",$J$197+C203),"/")</f>
        <v>/</v>
      </c>
      <c r="G203" s="220" t="str">
        <f>IF(I$197="Error","Error",IF(AND($E$197&lt;&gt;"/",$E$197&gt;Paramètres!$AX6),Paramètres!$AX7,"/"))</f>
        <v>/</v>
      </c>
      <c r="H203" s="195" t="str">
        <f>IF(G203&lt;&gt;"/",VLOOKUP(G203,COSTS_Spell_Rage[#All],2),"/")</f>
        <v>/</v>
      </c>
      <c r="I203" s="194" t="str">
        <f>IF(G203&lt;&gt;"/",VLOOKUP(G203,COSTS_Spell_Rage[#All],3),"/")</f>
        <v>/</v>
      </c>
      <c r="J203" s="195">
        <f>IF(I$197="Error","Error",IF(H203&lt;&gt;"/",F203*H203,0))</f>
        <v>0</v>
      </c>
      <c r="K203" s="221">
        <f>IF(I$197="Error","Error",IF(I203&lt;&gt;"/",F203*I203,0))</f>
        <v>0</v>
      </c>
    </row>
    <row r="204" spans="1:22" ht="15" customHeight="1" thickBot="1" x14ac:dyDescent="0.3">
      <c r="A204" s="420"/>
      <c r="B204" s="421"/>
      <c r="C204" s="421"/>
      <c r="D204" s="421"/>
      <c r="E204" s="421"/>
      <c r="F204" s="421"/>
      <c r="G204" s="421"/>
      <c r="H204" s="424"/>
      <c r="I204" s="248" t="s">
        <v>15</v>
      </c>
      <c r="J204" s="249">
        <f>IF(I$197="Error","Error",SUM(J199:J203))</f>
        <v>3150000</v>
      </c>
      <c r="K204" s="250">
        <f>IF(I$197="Error","Error",SUM(K199:K203))</f>
        <v>240</v>
      </c>
    </row>
    <row r="206" spans="1:22" ht="15" customHeight="1" thickBot="1" x14ac:dyDescent="0.3"/>
    <row r="207" spans="1:22" ht="30" customHeight="1" thickBot="1" x14ac:dyDescent="0.3">
      <c r="A207" s="410" t="s">
        <v>61</v>
      </c>
      <c r="B207" s="436"/>
      <c r="C207" s="436"/>
      <c r="D207" s="436"/>
      <c r="E207" s="436"/>
      <c r="F207" s="436"/>
      <c r="G207" s="436"/>
      <c r="H207" s="436"/>
      <c r="I207" s="436"/>
      <c r="J207" s="436"/>
      <c r="K207" s="436"/>
      <c r="L207" s="436"/>
      <c r="M207" s="436"/>
      <c r="N207" s="436"/>
      <c r="O207" s="436"/>
      <c r="P207" s="436"/>
      <c r="Q207" s="436"/>
      <c r="R207" s="436"/>
      <c r="S207" s="436"/>
      <c r="T207" s="436"/>
      <c r="U207" s="436"/>
      <c r="V207" s="437"/>
    </row>
    <row r="208" spans="1:22" ht="20.100000000000001" customHeight="1" thickBot="1" x14ac:dyDescent="0.3">
      <c r="A208" s="438" t="s">
        <v>77</v>
      </c>
      <c r="B208" s="439"/>
      <c r="C208" s="439"/>
      <c r="D208" s="439"/>
      <c r="E208" s="439"/>
      <c r="F208" s="439"/>
      <c r="G208" s="439"/>
      <c r="H208" s="439"/>
      <c r="I208" s="439"/>
      <c r="J208" s="439"/>
      <c r="K208" s="439"/>
      <c r="L208" s="440"/>
      <c r="M208" s="440"/>
      <c r="N208" s="440"/>
      <c r="O208" s="440"/>
      <c r="P208" s="440"/>
      <c r="Q208" s="440"/>
      <c r="R208" s="440"/>
      <c r="S208" s="440"/>
      <c r="T208" s="440"/>
      <c r="U208" s="440"/>
      <c r="V208" s="441"/>
    </row>
    <row r="209" spans="1:22" ht="15" customHeight="1" x14ac:dyDescent="0.25">
      <c r="A209" s="414" t="s">
        <v>83</v>
      </c>
      <c r="B209" s="415"/>
      <c r="C209" s="416"/>
      <c r="D209" s="164" t="s">
        <v>16</v>
      </c>
      <c r="E209" s="165" t="s">
        <v>17</v>
      </c>
      <c r="F209" s="166"/>
      <c r="G209" s="167"/>
      <c r="H209" s="168"/>
      <c r="I209" s="164" t="s">
        <v>91</v>
      </c>
      <c r="J209" s="169" t="s">
        <v>90</v>
      </c>
      <c r="K209" s="165" t="s">
        <v>92</v>
      </c>
      <c r="L209" s="414" t="s">
        <v>86</v>
      </c>
      <c r="M209" s="415"/>
      <c r="N209" s="416"/>
      <c r="O209" s="164" t="s">
        <v>16</v>
      </c>
      <c r="P209" s="165" t="s">
        <v>17</v>
      </c>
      <c r="Q209" s="166"/>
      <c r="R209" s="167"/>
      <c r="S209" s="168"/>
      <c r="T209" s="164" t="s">
        <v>91</v>
      </c>
      <c r="U209" s="169" t="s">
        <v>90</v>
      </c>
      <c r="V209" s="165" t="s">
        <v>92</v>
      </c>
    </row>
    <row r="210" spans="1:22" ht="15" customHeight="1" thickBot="1" x14ac:dyDescent="0.3">
      <c r="A210" s="417"/>
      <c r="B210" s="418"/>
      <c r="C210" s="419"/>
      <c r="D210" s="183">
        <f>VLOOKUP($A$1,AVAILABLE_Upgrades_Normal_Troops[#All],MATCH(A209,AVAILABLE_Upgrades_Normal_Troops[#Headers],0))</f>
        <v>1</v>
      </c>
      <c r="E210" s="184">
        <f>VLOOKUP($A$1,AVAILABLE_Upgrades_Normal_Troops[#All],MATCH(A209,AVAILABLE_Upgrades_Normal_Troops[#Headers],0)+1)</f>
        <v>4</v>
      </c>
      <c r="F210" s="185"/>
      <c r="G210" s="186"/>
      <c r="H210" s="187"/>
      <c r="I210" s="183">
        <f>IF(SUM(B212:B217)&gt;D210,"Error",SUM(B212:B217))</f>
        <v>1</v>
      </c>
      <c r="J210" s="188">
        <f>IF(I$210="Error","Error",D210-I210)</f>
        <v>0</v>
      </c>
      <c r="K210" s="189">
        <f>IF(I$210="Error","Error",SUM(F212:F217))</f>
        <v>0</v>
      </c>
      <c r="L210" s="417"/>
      <c r="M210" s="418"/>
      <c r="N210" s="419"/>
      <c r="O210" s="183">
        <f>VLOOKUP($A$1,AVAILABLE_Upgrades_Normal_Troops[#All],MATCH(L209,AVAILABLE_Upgrades_Normal_Troops[#Headers],0))</f>
        <v>1</v>
      </c>
      <c r="P210" s="184">
        <f>VLOOKUP($A$1,AVAILABLE_Upgrades_Normal_Troops[#All],MATCH(L209,AVAILABLE_Upgrades_Normal_Troops[#Headers],0)+1)</f>
        <v>4</v>
      </c>
      <c r="Q210" s="185"/>
      <c r="R210" s="186"/>
      <c r="S210" s="187"/>
      <c r="T210" s="183">
        <f>IF(SUM(M212:M217)&gt;O210,"Error",SUM(M212:M217))</f>
        <v>1</v>
      </c>
      <c r="U210" s="188">
        <f>IF(T$210="Error","Error",O210-T210)</f>
        <v>0</v>
      </c>
      <c r="V210" s="189">
        <f>IF(T$210="Error","Error",SUM(Q212:Q217))</f>
        <v>2</v>
      </c>
    </row>
    <row r="211" spans="1:22" ht="15" customHeight="1" thickBot="1" x14ac:dyDescent="0.3">
      <c r="A211" s="200" t="s">
        <v>14</v>
      </c>
      <c r="B211" s="262" t="s">
        <v>13</v>
      </c>
      <c r="C211" s="202"/>
      <c r="D211" s="202"/>
      <c r="E211" s="203"/>
      <c r="F211" s="204" t="s">
        <v>13</v>
      </c>
      <c r="G211" s="205" t="s">
        <v>14</v>
      </c>
      <c r="H211" s="206" t="s">
        <v>133</v>
      </c>
      <c r="I211" s="206" t="s">
        <v>134</v>
      </c>
      <c r="J211" s="206" t="s">
        <v>74</v>
      </c>
      <c r="K211" s="207" t="s">
        <v>75</v>
      </c>
      <c r="L211" s="200" t="s">
        <v>14</v>
      </c>
      <c r="M211" s="262" t="s">
        <v>13</v>
      </c>
      <c r="N211" s="202"/>
      <c r="O211" s="202"/>
      <c r="P211" s="203"/>
      <c r="Q211" s="204" t="s">
        <v>13</v>
      </c>
      <c r="R211" s="205" t="s">
        <v>14</v>
      </c>
      <c r="S211" s="206" t="s">
        <v>133</v>
      </c>
      <c r="T211" s="206" t="s">
        <v>134</v>
      </c>
      <c r="U211" s="206" t="s">
        <v>74</v>
      </c>
      <c r="V211" s="207" t="s">
        <v>75</v>
      </c>
    </row>
    <row r="212" spans="1:22" ht="15" customHeight="1" x14ac:dyDescent="0.25">
      <c r="A212" s="263">
        <v>1</v>
      </c>
      <c r="B212" s="264" t="str">
        <f>IF(Paramètres!AD5=0,"",Paramètres!AD5)</f>
        <v/>
      </c>
      <c r="C212" s="265">
        <f t="shared" ref="C212:C214" si="87">IF(C211&lt;&gt;0,C211+IF(AND(B211&lt;&gt;"",A211&lt;E$6),B211,0),IF(AND(B211&lt;&gt;"",A211&lt;E$6),B211,0))</f>
        <v>0</v>
      </c>
      <c r="D212" s="217"/>
      <c r="E212" s="218"/>
      <c r="F212" s="219">
        <f t="shared" ref="F212:F217" si="88">IF(G212&lt;&gt;"/",IF(I$210="Error","Error",$J$210+C212),"/")</f>
        <v>0</v>
      </c>
      <c r="G212" s="220">
        <f>IF(I$210="Error","Error",IF(AND($E$210&lt;&gt;"/",$E$210&gt;Paramètres!$AX2),Paramètres!$AX3,"/"))</f>
        <v>1</v>
      </c>
      <c r="H212" s="195">
        <f>IF(G212&lt;&gt;"/",VLOOKUP(G212,COSTS_Barbarian[#All],2),"/")</f>
        <v>0</v>
      </c>
      <c r="I212" s="194">
        <f>IF(G212&lt;&gt;"/",VLOOKUP(G212,COSTS_Barbarian[#All],3),"/")</f>
        <v>0</v>
      </c>
      <c r="J212" s="195">
        <f t="shared" ref="J212:J217" si="89">IF(I$210="Error","Error",IF(H212&lt;&gt;"/",F212*H212,0))</f>
        <v>0</v>
      </c>
      <c r="K212" s="221">
        <f t="shared" ref="K212:K217" si="90">IF(I$210="Error","Error",IF(I212&lt;&gt;"/",F212*I212,0))</f>
        <v>0</v>
      </c>
      <c r="L212" s="263">
        <v>1</v>
      </c>
      <c r="M212" s="264" t="str">
        <f>IF(Paramètres!AI5=0,"",Paramètres!AI5)</f>
        <v/>
      </c>
      <c r="N212" s="265">
        <f t="shared" ref="N212:N217" si="91">IF(N211&lt;&gt;0,N211+IF(AND(M211&lt;&gt;"",L211&lt;P$6),M211,0),IF(AND(M211&lt;&gt;"",L211&lt;P$6),M211,0))</f>
        <v>0</v>
      </c>
      <c r="O212" s="217"/>
      <c r="P212" s="218"/>
      <c r="Q212" s="219">
        <f>IF(R212&lt;&gt;"/",IF(T$210="Error","Error",$U$210+N212),"/")</f>
        <v>0</v>
      </c>
      <c r="R212" s="220">
        <f>IF(T$210="Error","Error",IF(AND($P$210&lt;&gt;"/",$P$210&gt;Paramètres!$AX2),Paramètres!$AX3,"/"))</f>
        <v>1</v>
      </c>
      <c r="S212" s="195">
        <f>IF(R212&lt;&gt;"/",VLOOKUP(R212,COSTS_Balloon[#All],2),"/")</f>
        <v>0</v>
      </c>
      <c r="T212" s="194">
        <f>IF(R212&lt;&gt;"/",VLOOKUP(R212,COSTS_Balloon[#All],3),"/")</f>
        <v>0</v>
      </c>
      <c r="U212" s="195">
        <f>IF(T$210="Error","Error",IF(S212&lt;&gt;"/",Q212*S212,0))</f>
        <v>0</v>
      </c>
      <c r="V212" s="221">
        <f>IF(T$210="Error","Error",IF(T212&lt;&gt;"/",Q212*T212,0))</f>
        <v>0</v>
      </c>
    </row>
    <row r="213" spans="1:22" ht="15" customHeight="1" x14ac:dyDescent="0.25">
      <c r="A213" s="266">
        <v>2</v>
      </c>
      <c r="B213" s="264" t="str">
        <f>IF(Paramètres!AD6=0,"",Paramètres!AD6)</f>
        <v/>
      </c>
      <c r="C213" s="265">
        <f t="shared" si="87"/>
        <v>0</v>
      </c>
      <c r="D213" s="227"/>
      <c r="E213" s="228"/>
      <c r="F213" s="219">
        <f t="shared" si="88"/>
        <v>0</v>
      </c>
      <c r="G213" s="220">
        <f>IF(I$210="Error","Error",IF(AND($E$210&lt;&gt;"/",$E$210&gt;Paramètres!$AX3),Paramètres!$AX4,"/"))</f>
        <v>2</v>
      </c>
      <c r="H213" s="195">
        <f>IF(G213&lt;&gt;"/",VLOOKUP(G213,COSTS_Barbarian[#All],2),"/")</f>
        <v>50000</v>
      </c>
      <c r="I213" s="194">
        <f>IF(G213&lt;&gt;"/",VLOOKUP(G213,COSTS_Barbarian[#All],3),"/")</f>
        <v>6</v>
      </c>
      <c r="J213" s="195">
        <f t="shared" si="89"/>
        <v>0</v>
      </c>
      <c r="K213" s="221">
        <f t="shared" si="90"/>
        <v>0</v>
      </c>
      <c r="L213" s="266">
        <v>2</v>
      </c>
      <c r="M213" s="264">
        <f>IF(Paramètres!AI6=0,"",Paramètres!AI6)</f>
        <v>1</v>
      </c>
      <c r="N213" s="265">
        <f t="shared" si="91"/>
        <v>0</v>
      </c>
      <c r="O213" s="227"/>
      <c r="P213" s="228"/>
      <c r="Q213" s="219">
        <f t="shared" ref="Q213:Q217" si="92">IF(R213&lt;&gt;"/",IF(T$210="Error","Error",$U$210+N213),"/")</f>
        <v>0</v>
      </c>
      <c r="R213" s="220">
        <f>IF(T$210="Error","Error",IF(AND($P$210&lt;&gt;"/",$P$210&gt;Paramètres!$AX3),Paramètres!$AX4,"/"))</f>
        <v>2</v>
      </c>
      <c r="S213" s="195">
        <f>IF(R213&lt;&gt;"/",VLOOKUP(R213,COSTS_Balloon[#All],2),"/")</f>
        <v>150000</v>
      </c>
      <c r="T213" s="194">
        <f>IF(R213&lt;&gt;"/",VLOOKUP(R213,COSTS_Balloon[#All],3),"/")</f>
        <v>24</v>
      </c>
      <c r="U213" s="195">
        <f t="shared" ref="U213:U217" si="93">IF(T$210="Error","Error",IF(S213&lt;&gt;"/",Q213*S213,0))</f>
        <v>0</v>
      </c>
      <c r="V213" s="221">
        <f t="shared" ref="V213:V217" si="94">IF(T$210="Error","Error",IF(T213&lt;&gt;"/",Q213*T213,0))</f>
        <v>0</v>
      </c>
    </row>
    <row r="214" spans="1:22" ht="15" customHeight="1" x14ac:dyDescent="0.25">
      <c r="A214" s="266">
        <v>3</v>
      </c>
      <c r="B214" s="264" t="str">
        <f>IF(Paramètres!AD7=0,"",Paramètres!AD7)</f>
        <v/>
      </c>
      <c r="C214" s="265">
        <f t="shared" si="87"/>
        <v>0</v>
      </c>
      <c r="D214" s="227"/>
      <c r="E214" s="228"/>
      <c r="F214" s="219">
        <f t="shared" si="88"/>
        <v>0</v>
      </c>
      <c r="G214" s="220">
        <f>IF(I$210="Error","Error",IF(AND($E$210&lt;&gt;"/",$E$210&gt;Paramètres!$AX4),Paramètres!$AX5,"/"))</f>
        <v>3</v>
      </c>
      <c r="H214" s="195">
        <f>IF(G214&lt;&gt;"/",VLOOKUP(G214,COSTS_Barbarian[#All],2),"/")</f>
        <v>150000</v>
      </c>
      <c r="I214" s="194">
        <f>IF(G214&lt;&gt;"/",VLOOKUP(G214,COSTS_Barbarian[#All],3),"/")</f>
        <v>24</v>
      </c>
      <c r="J214" s="195">
        <f t="shared" si="89"/>
        <v>0</v>
      </c>
      <c r="K214" s="221">
        <f t="shared" si="90"/>
        <v>0</v>
      </c>
      <c r="L214" s="266">
        <v>3</v>
      </c>
      <c r="M214" s="264" t="str">
        <f>IF(Paramètres!AI7=0,"",Paramètres!AI7)</f>
        <v/>
      </c>
      <c r="N214" s="265">
        <f t="shared" si="91"/>
        <v>1</v>
      </c>
      <c r="O214" s="227"/>
      <c r="P214" s="228"/>
      <c r="Q214" s="219">
        <f t="shared" si="92"/>
        <v>1</v>
      </c>
      <c r="R214" s="220">
        <f>IF(T$210="Error","Error",IF(AND($P$210&lt;&gt;"/",$P$210&gt;Paramètres!$AX4),Paramètres!$AX5,"/"))</f>
        <v>3</v>
      </c>
      <c r="S214" s="195">
        <f>IF(R214&lt;&gt;"/",VLOOKUP(R214,COSTS_Balloon[#All],2),"/")</f>
        <v>450000</v>
      </c>
      <c r="T214" s="194">
        <f>IF(R214&lt;&gt;"/",VLOOKUP(R214,COSTS_Balloon[#All],3),"/")</f>
        <v>48</v>
      </c>
      <c r="U214" s="195">
        <f t="shared" si="93"/>
        <v>450000</v>
      </c>
      <c r="V214" s="221">
        <f t="shared" si="94"/>
        <v>48</v>
      </c>
    </row>
    <row r="215" spans="1:22" ht="15" customHeight="1" x14ac:dyDescent="0.25">
      <c r="A215" s="266">
        <v>4</v>
      </c>
      <c r="B215" s="264">
        <f>IF(Paramètres!AD8=0,"",Paramètres!AD8)</f>
        <v>1</v>
      </c>
      <c r="C215" s="265">
        <f t="shared" ref="C215:C217" si="95">IF(C214&lt;&gt;0,C214+IF(AND(B214&lt;&gt;"",A214&lt;E$6),B214,0),IF(AND(B214&lt;&gt;"",A214&lt;E$6),B214,0))</f>
        <v>0</v>
      </c>
      <c r="D215" s="227"/>
      <c r="E215" s="228"/>
      <c r="F215" s="219">
        <f t="shared" si="88"/>
        <v>0</v>
      </c>
      <c r="G215" s="220">
        <f>IF(I$210="Error","Error",IF(AND($E$210&lt;&gt;"/",$E$210&gt;Paramètres!$AX5),Paramètres!$AX6,"/"))</f>
        <v>4</v>
      </c>
      <c r="H215" s="195">
        <f>IF(G215&lt;&gt;"/",VLOOKUP(G215,COSTS_Barbarian[#All],2),"/")</f>
        <v>500000</v>
      </c>
      <c r="I215" s="194">
        <f>IF(G215&lt;&gt;"/",VLOOKUP(G215,COSTS_Barbarian[#All],3),"/")</f>
        <v>72</v>
      </c>
      <c r="J215" s="195">
        <f t="shared" si="89"/>
        <v>0</v>
      </c>
      <c r="K215" s="221">
        <f t="shared" si="90"/>
        <v>0</v>
      </c>
      <c r="L215" s="266">
        <v>4</v>
      </c>
      <c r="M215" s="264" t="str">
        <f>IF(Paramètres!AI8=0,"",Paramètres!AI8)</f>
        <v/>
      </c>
      <c r="N215" s="265">
        <f t="shared" si="91"/>
        <v>1</v>
      </c>
      <c r="O215" s="227"/>
      <c r="P215" s="228"/>
      <c r="Q215" s="219">
        <f t="shared" si="92"/>
        <v>1</v>
      </c>
      <c r="R215" s="220">
        <f>IF(T$210="Error","Error",IF(AND($P$210&lt;&gt;"/",$P$210&gt;Paramètres!$AX5),Paramètres!$AX6,"/"))</f>
        <v>4</v>
      </c>
      <c r="S215" s="195">
        <f>IF(R215&lt;&gt;"/",VLOOKUP(R215,COSTS_Balloon[#All],2),"/")</f>
        <v>1350000</v>
      </c>
      <c r="T215" s="194">
        <f>IF(R215&lt;&gt;"/",VLOOKUP(R215,COSTS_Balloon[#All],3),"/")</f>
        <v>72</v>
      </c>
      <c r="U215" s="195">
        <f t="shared" si="93"/>
        <v>1350000</v>
      </c>
      <c r="V215" s="221">
        <f t="shared" si="94"/>
        <v>72</v>
      </c>
    </row>
    <row r="216" spans="1:22" ht="15" customHeight="1" x14ac:dyDescent="0.25">
      <c r="A216" s="266">
        <v>5</v>
      </c>
      <c r="B216" s="264" t="str">
        <f>IF(Paramètres!AD9=0,"",Paramètres!AD9)</f>
        <v/>
      </c>
      <c r="C216" s="265">
        <f t="shared" si="95"/>
        <v>1</v>
      </c>
      <c r="D216" s="227"/>
      <c r="E216" s="228"/>
      <c r="F216" s="219" t="str">
        <f t="shared" si="88"/>
        <v>/</v>
      </c>
      <c r="G216" s="220" t="str">
        <f>IF(I$210="Error","Error",IF(AND($E$210&lt;&gt;"/",$E$210&gt;Paramètres!$AX6),Paramètres!$AX7,"/"))</f>
        <v>/</v>
      </c>
      <c r="H216" s="195" t="str">
        <f>IF(G216&lt;&gt;"/",VLOOKUP(G216,COSTS_Barbarian[#All],2),"/")</f>
        <v>/</v>
      </c>
      <c r="I216" s="194" t="str">
        <f>IF(G216&lt;&gt;"/",VLOOKUP(G216,COSTS_Barbarian[#All],3),"/")</f>
        <v>/</v>
      </c>
      <c r="J216" s="195">
        <f t="shared" si="89"/>
        <v>0</v>
      </c>
      <c r="K216" s="221">
        <f t="shared" si="90"/>
        <v>0</v>
      </c>
      <c r="L216" s="266">
        <v>5</v>
      </c>
      <c r="M216" s="264" t="str">
        <f>IF(Paramètres!AI9=0,"",Paramètres!AI9)</f>
        <v/>
      </c>
      <c r="N216" s="265">
        <f t="shared" si="91"/>
        <v>1</v>
      </c>
      <c r="O216" s="227"/>
      <c r="P216" s="228"/>
      <c r="Q216" s="219" t="str">
        <f t="shared" si="92"/>
        <v>/</v>
      </c>
      <c r="R216" s="220" t="str">
        <f>IF(T$210="Error","Error",IF(AND($P$210&lt;&gt;"/",$P$210&gt;Paramètres!$AX6),Paramètres!$AX7,"/"))</f>
        <v>/</v>
      </c>
      <c r="S216" s="195" t="str">
        <f>IF(R216&lt;&gt;"/",VLOOKUP(R216,COSTS_Balloon[#All],2),"/")</f>
        <v>/</v>
      </c>
      <c r="T216" s="194" t="str">
        <f>IF(R216&lt;&gt;"/",VLOOKUP(R216,COSTS_Balloon[#All],3),"/")</f>
        <v>/</v>
      </c>
      <c r="U216" s="195">
        <f t="shared" si="93"/>
        <v>0</v>
      </c>
      <c r="V216" s="221">
        <f t="shared" si="94"/>
        <v>0</v>
      </c>
    </row>
    <row r="217" spans="1:22" ht="15" customHeight="1" thickBot="1" x14ac:dyDescent="0.3">
      <c r="A217" s="266">
        <v>6</v>
      </c>
      <c r="B217" s="264" t="str">
        <f>IF(Paramètres!AD10=0,"",Paramètres!AD10)</f>
        <v/>
      </c>
      <c r="C217" s="265">
        <f t="shared" si="95"/>
        <v>1</v>
      </c>
      <c r="D217" s="227"/>
      <c r="E217" s="228"/>
      <c r="F217" s="219" t="str">
        <f t="shared" si="88"/>
        <v>/</v>
      </c>
      <c r="G217" s="220" t="str">
        <f>IF(I$210="Error","Error",IF(AND($E$210&lt;&gt;"/",$E$210&gt;Paramètres!$AX7),Paramètres!$AX8,"/"))</f>
        <v>/</v>
      </c>
      <c r="H217" s="195" t="str">
        <f>IF(G217&lt;&gt;"/",VLOOKUP(G217,COSTS_Barbarian[#All],2),"/")</f>
        <v>/</v>
      </c>
      <c r="I217" s="194" t="str">
        <f>IF(G217&lt;&gt;"/",VLOOKUP(G217,COSTS_Barbarian[#All],3),"/")</f>
        <v>/</v>
      </c>
      <c r="J217" s="195">
        <f t="shared" si="89"/>
        <v>0</v>
      </c>
      <c r="K217" s="221">
        <f t="shared" si="90"/>
        <v>0</v>
      </c>
      <c r="L217" s="266">
        <v>6</v>
      </c>
      <c r="M217" s="264" t="str">
        <f>IF(Paramètres!AI10=0,"",Paramètres!AI10)</f>
        <v/>
      </c>
      <c r="N217" s="265">
        <f t="shared" si="91"/>
        <v>1</v>
      </c>
      <c r="O217" s="227"/>
      <c r="P217" s="228"/>
      <c r="Q217" s="219" t="str">
        <f t="shared" si="92"/>
        <v>/</v>
      </c>
      <c r="R217" s="220" t="str">
        <f>IF(T$210="Error","Error",IF(AND($P$210&lt;&gt;"/",$P$210&gt;Paramètres!$AX7),Paramètres!$AX8,"/"))</f>
        <v>/</v>
      </c>
      <c r="S217" s="195" t="str">
        <f>IF(R217&lt;&gt;"/",VLOOKUP(R217,COSTS_Balloon[#All],2),"/")</f>
        <v>/</v>
      </c>
      <c r="T217" s="194" t="str">
        <f>IF(R217&lt;&gt;"/",VLOOKUP(R217,COSTS_Balloon[#All],3),"/")</f>
        <v>/</v>
      </c>
      <c r="U217" s="195">
        <f t="shared" si="93"/>
        <v>0</v>
      </c>
      <c r="V217" s="221">
        <f t="shared" si="94"/>
        <v>0</v>
      </c>
    </row>
    <row r="218" spans="1:22" ht="15" customHeight="1" thickBot="1" x14ac:dyDescent="0.3">
      <c r="A218" s="420"/>
      <c r="B218" s="421"/>
      <c r="C218" s="421"/>
      <c r="D218" s="421"/>
      <c r="E218" s="421"/>
      <c r="F218" s="421"/>
      <c r="G218" s="421"/>
      <c r="H218" s="424"/>
      <c r="I218" s="248" t="s">
        <v>15</v>
      </c>
      <c r="J218" s="249">
        <f>IF(I$210="Error","Error",SUM(J212:J217))</f>
        <v>0</v>
      </c>
      <c r="K218" s="250">
        <f>IF(I$210="Error","Error",SUM(K212:K217))</f>
        <v>0</v>
      </c>
      <c r="L218" s="420"/>
      <c r="M218" s="421"/>
      <c r="N218" s="421"/>
      <c r="O218" s="421"/>
      <c r="P218" s="421"/>
      <c r="Q218" s="421"/>
      <c r="R218" s="421"/>
      <c r="S218" s="424"/>
      <c r="T218" s="248" t="s">
        <v>15</v>
      </c>
      <c r="U218" s="249">
        <f>IF(T$210="Error","Error",SUM(U212:U217))</f>
        <v>1800000</v>
      </c>
      <c r="V218" s="250">
        <f>IF(T$210="Error","Error",SUM(V212:V217))</f>
        <v>120</v>
      </c>
    </row>
    <row r="219" spans="1:22" ht="15" customHeight="1" x14ac:dyDescent="0.25">
      <c r="A219" s="414" t="s">
        <v>20</v>
      </c>
      <c r="B219" s="415"/>
      <c r="C219" s="416"/>
      <c r="D219" s="164" t="s">
        <v>16</v>
      </c>
      <c r="E219" s="165" t="s">
        <v>17</v>
      </c>
      <c r="F219" s="166"/>
      <c r="G219" s="167"/>
      <c r="H219" s="168"/>
      <c r="I219" s="164" t="s">
        <v>91</v>
      </c>
      <c r="J219" s="169" t="s">
        <v>90</v>
      </c>
      <c r="K219" s="165" t="s">
        <v>92</v>
      </c>
      <c r="L219" s="414" t="s">
        <v>87</v>
      </c>
      <c r="M219" s="415"/>
      <c r="N219" s="416"/>
      <c r="O219" s="164" t="s">
        <v>16</v>
      </c>
      <c r="P219" s="165" t="s">
        <v>17</v>
      </c>
      <c r="Q219" s="166"/>
      <c r="R219" s="167"/>
      <c r="S219" s="168"/>
      <c r="T219" s="164" t="s">
        <v>91</v>
      </c>
      <c r="U219" s="169" t="s">
        <v>90</v>
      </c>
      <c r="V219" s="165" t="s">
        <v>92</v>
      </c>
    </row>
    <row r="220" spans="1:22" ht="15" customHeight="1" thickBot="1" x14ac:dyDescent="0.3">
      <c r="A220" s="417"/>
      <c r="B220" s="418"/>
      <c r="C220" s="419"/>
      <c r="D220" s="183">
        <f>VLOOKUP($A$1,AVAILABLE_Upgrades_Normal_Troops[#All],MATCH(A219,AVAILABLE_Upgrades_Normal_Troops[#Headers],0))</f>
        <v>1</v>
      </c>
      <c r="E220" s="184">
        <f>VLOOKUP($A$1,AVAILABLE_Upgrades_Normal_Troops[#All],MATCH(A219,AVAILABLE_Upgrades_Normal_Troops[#Headers],0)+1)</f>
        <v>4</v>
      </c>
      <c r="F220" s="185"/>
      <c r="G220" s="186"/>
      <c r="H220" s="187"/>
      <c r="I220" s="183">
        <f>IF(SUM(B222:B227)&gt;D220,"Error",SUM(B222:B227))</f>
        <v>1</v>
      </c>
      <c r="J220" s="188">
        <f>IF(I$220="Error","Error",D220-I220)</f>
        <v>0</v>
      </c>
      <c r="K220" s="189">
        <f>IF(I$220="Error","Error",SUM(F222:F227))</f>
        <v>0</v>
      </c>
      <c r="L220" s="417"/>
      <c r="M220" s="418"/>
      <c r="N220" s="419"/>
      <c r="O220" s="183">
        <f>VLOOKUP($A$1,AVAILABLE_Upgrades_Normal_Troops[#All],MATCH(L219,AVAILABLE_Upgrades_Normal_Troops[#Headers],0))</f>
        <v>1</v>
      </c>
      <c r="P220" s="184">
        <f>VLOOKUP($A$1,AVAILABLE_Upgrades_Normal_Troops[#All],MATCH(L219,AVAILABLE_Upgrades_Normal_Troops[#Headers],0)+1)</f>
        <v>4</v>
      </c>
      <c r="Q220" s="185"/>
      <c r="R220" s="186"/>
      <c r="S220" s="187"/>
      <c r="T220" s="183">
        <f>IF(SUM(M222:M226)&gt;O220,"Error",SUM(M222:M226))</f>
        <v>1</v>
      </c>
      <c r="U220" s="188">
        <f>IF(T$220="Error","Error",O220-T220)</f>
        <v>0</v>
      </c>
      <c r="V220" s="189">
        <f>IF(T$220="Error","Error",SUM(Q222:Q226))</f>
        <v>1</v>
      </c>
    </row>
    <row r="221" spans="1:22" ht="15" customHeight="1" thickBot="1" x14ac:dyDescent="0.3">
      <c r="A221" s="200" t="s">
        <v>14</v>
      </c>
      <c r="B221" s="262" t="s">
        <v>13</v>
      </c>
      <c r="C221" s="202"/>
      <c r="D221" s="202"/>
      <c r="E221" s="203"/>
      <c r="F221" s="204" t="s">
        <v>13</v>
      </c>
      <c r="G221" s="205" t="s">
        <v>14</v>
      </c>
      <c r="H221" s="206" t="s">
        <v>133</v>
      </c>
      <c r="I221" s="206" t="s">
        <v>134</v>
      </c>
      <c r="J221" s="206" t="s">
        <v>74</v>
      </c>
      <c r="K221" s="207" t="s">
        <v>75</v>
      </c>
      <c r="L221" s="200" t="s">
        <v>14</v>
      </c>
      <c r="M221" s="262" t="s">
        <v>13</v>
      </c>
      <c r="N221" s="202"/>
      <c r="O221" s="202"/>
      <c r="P221" s="203"/>
      <c r="Q221" s="204" t="s">
        <v>13</v>
      </c>
      <c r="R221" s="205" t="s">
        <v>14</v>
      </c>
      <c r="S221" s="206" t="s">
        <v>133</v>
      </c>
      <c r="T221" s="206" t="s">
        <v>134</v>
      </c>
      <c r="U221" s="206" t="s">
        <v>74</v>
      </c>
      <c r="V221" s="207" t="s">
        <v>75</v>
      </c>
    </row>
    <row r="222" spans="1:22" ht="15" customHeight="1" x14ac:dyDescent="0.25">
      <c r="A222" s="263">
        <v>1</v>
      </c>
      <c r="B222" s="264" t="str">
        <f>IF(Paramètres!AE5=0,"",Paramètres!AE5)</f>
        <v/>
      </c>
      <c r="C222" s="265">
        <f t="shared" ref="C222:C227" si="96">IF(C221&lt;&gt;0,C221+IF(AND(B221&lt;&gt;"",A221&lt;E$6),B221,0),IF(AND(B221&lt;&gt;"",A221&lt;E$6),B221,0))</f>
        <v>0</v>
      </c>
      <c r="D222" s="217"/>
      <c r="E222" s="218"/>
      <c r="F222" s="219">
        <f t="shared" ref="F222:F227" si="97">IF(G222&lt;&gt;"/",IF(I$220="Error","Error",$J$220+C222),"/")</f>
        <v>0</v>
      </c>
      <c r="G222" s="220">
        <f>IF(I$220="Error","Error",IF(AND($E$220&lt;&gt;"/",$E$220&gt;Paramètres!$AX2),Paramètres!$AX3,"/"))</f>
        <v>1</v>
      </c>
      <c r="H222" s="195">
        <f>IF(G222&lt;&gt;"/",VLOOKUP(G222,COSTS_Archer[#All],2),"/")</f>
        <v>0</v>
      </c>
      <c r="I222" s="194">
        <f>IF(G222&lt;&gt;"/",VLOOKUP(G222,COSTS_Archer[#All],3),"/")</f>
        <v>0</v>
      </c>
      <c r="J222" s="195">
        <f t="shared" ref="J222:J227" si="98">IF(I$220="Error","Error",IF(H222&lt;&gt;"/",F222*H222,0))</f>
        <v>0</v>
      </c>
      <c r="K222" s="221">
        <f t="shared" ref="K222:K227" si="99">IF(I$220="Error","Error",IF(I222&lt;&gt;"/",F222*I222,0))</f>
        <v>0</v>
      </c>
      <c r="L222" s="263">
        <v>1</v>
      </c>
      <c r="M222" s="264" t="str">
        <f>IF(Paramètres!AJ5=0,"",Paramètres!AJ5)</f>
        <v/>
      </c>
      <c r="N222" s="265">
        <f t="shared" ref="N222:N226" si="100">IF(N221&lt;&gt;0,N221+IF(AND(M221&lt;&gt;"",L221&lt;P$6),M221,0),IF(AND(M221&lt;&gt;"",L221&lt;P$6),M221,0))</f>
        <v>0</v>
      </c>
      <c r="O222" s="217"/>
      <c r="P222" s="218"/>
      <c r="Q222" s="219">
        <f>IF(R222&lt;&gt;"/",IF(T$220="Error","Error",$U$220+N222),"/")</f>
        <v>0</v>
      </c>
      <c r="R222" s="220">
        <f>IF(T$220="Error","Error",IF(AND($P$220&lt;&gt;"/",$P$220&gt;Paramètres!$AX2),Paramètres!$AX3,"/"))</f>
        <v>1</v>
      </c>
      <c r="S222" s="195">
        <f>IF(R222&lt;&gt;"/",VLOOKUP(R222,COSTS_Wizard[#All],2),"/")</f>
        <v>0</v>
      </c>
      <c r="T222" s="194">
        <f>IF(R222&lt;&gt;"/",VLOOKUP(R222,COSTS_Wizard[#All],3),"/")</f>
        <v>0</v>
      </c>
      <c r="U222" s="195">
        <f>IF(T$220="Error","Error",IF(S222&lt;&gt;"/",Q222*S222,0))</f>
        <v>0</v>
      </c>
      <c r="V222" s="221">
        <f>IF(T$220="Error","Error",IF(T222&lt;&gt;"/",Q222*T222,0))</f>
        <v>0</v>
      </c>
    </row>
    <row r="223" spans="1:22" ht="15" customHeight="1" x14ac:dyDescent="0.25">
      <c r="A223" s="266">
        <v>2</v>
      </c>
      <c r="B223" s="264" t="str">
        <f>IF(Paramètres!AE6=0,"",Paramètres!AE6)</f>
        <v/>
      </c>
      <c r="C223" s="265">
        <f t="shared" si="96"/>
        <v>0</v>
      </c>
      <c r="D223" s="227"/>
      <c r="E223" s="228"/>
      <c r="F223" s="219">
        <f t="shared" si="97"/>
        <v>0</v>
      </c>
      <c r="G223" s="220">
        <f>IF(I$220="Error","Error",IF(AND($E$220&lt;&gt;"/",$E$220&gt;Paramètres!$AX3),Paramètres!$AX4,"/"))</f>
        <v>2</v>
      </c>
      <c r="H223" s="195">
        <f>IF(G223&lt;&gt;"/",VLOOKUP(G223,COSTS_Archer[#All],2),"/")</f>
        <v>50000</v>
      </c>
      <c r="I223" s="194">
        <f>IF(G223&lt;&gt;"/",VLOOKUP(G223,COSTS_Archer[#All],3),"/")</f>
        <v>12</v>
      </c>
      <c r="J223" s="195">
        <f t="shared" si="98"/>
        <v>0</v>
      </c>
      <c r="K223" s="221">
        <f t="shared" si="99"/>
        <v>0</v>
      </c>
      <c r="L223" s="266">
        <v>2</v>
      </c>
      <c r="M223" s="264" t="str">
        <f>IF(Paramètres!AJ6=0,"",Paramètres!AJ6)</f>
        <v/>
      </c>
      <c r="N223" s="265">
        <f t="shared" si="100"/>
        <v>0</v>
      </c>
      <c r="O223" s="227"/>
      <c r="P223" s="228"/>
      <c r="Q223" s="219">
        <f t="shared" ref="Q223:Q226" si="101">IF(R223&lt;&gt;"/",IF(T$220="Error","Error",$U$220+N223),"/")</f>
        <v>0</v>
      </c>
      <c r="R223" s="220">
        <f>IF(T$220="Error","Error",IF(AND($P$220&lt;&gt;"/",$P$220&gt;Paramètres!$AX3),Paramètres!$AX4,"/"))</f>
        <v>2</v>
      </c>
      <c r="S223" s="195">
        <f>IF(R223&lt;&gt;"/",VLOOKUP(R223,COSTS_Wizard[#All],2),"/")</f>
        <v>150000</v>
      </c>
      <c r="T223" s="194">
        <f>IF(R223&lt;&gt;"/",VLOOKUP(R223,COSTS_Wizard[#All],3),"/")</f>
        <v>24</v>
      </c>
      <c r="U223" s="195">
        <f t="shared" ref="U223:U226" si="102">IF(T$220="Error","Error",IF(S223&lt;&gt;"/",Q223*S223,0))</f>
        <v>0</v>
      </c>
      <c r="V223" s="221">
        <f t="shared" ref="V223:V226" si="103">IF(T$220="Error","Error",IF(T223&lt;&gt;"/",Q223*T223,0))</f>
        <v>0</v>
      </c>
    </row>
    <row r="224" spans="1:22" ht="15" customHeight="1" x14ac:dyDescent="0.25">
      <c r="A224" s="266">
        <v>3</v>
      </c>
      <c r="B224" s="264" t="str">
        <f>IF(Paramètres!AE7=0,"",Paramètres!AE7)</f>
        <v/>
      </c>
      <c r="C224" s="265">
        <f t="shared" si="96"/>
        <v>0</v>
      </c>
      <c r="D224" s="227"/>
      <c r="E224" s="228"/>
      <c r="F224" s="219">
        <f t="shared" si="97"/>
        <v>0</v>
      </c>
      <c r="G224" s="220">
        <f>IF(I$220="Error","Error",IF(AND($E$220&lt;&gt;"/",$E$220&gt;Paramètres!$AX4),Paramètres!$AX5,"/"))</f>
        <v>3</v>
      </c>
      <c r="H224" s="195">
        <f>IF(G224&lt;&gt;"/",VLOOKUP(G224,COSTS_Archer[#All],2),"/")</f>
        <v>250000</v>
      </c>
      <c r="I224" s="194">
        <f>IF(G224&lt;&gt;"/",VLOOKUP(G224,COSTS_Archer[#All],3),"/")</f>
        <v>48</v>
      </c>
      <c r="J224" s="195">
        <f t="shared" si="98"/>
        <v>0</v>
      </c>
      <c r="K224" s="221">
        <f t="shared" si="99"/>
        <v>0</v>
      </c>
      <c r="L224" s="266">
        <v>3</v>
      </c>
      <c r="M224" s="264">
        <f>IF(Paramètres!AJ7=0,"",Paramètres!AJ7)</f>
        <v>1</v>
      </c>
      <c r="N224" s="265">
        <f t="shared" si="100"/>
        <v>0</v>
      </c>
      <c r="O224" s="227"/>
      <c r="P224" s="228"/>
      <c r="Q224" s="219">
        <f t="shared" si="101"/>
        <v>0</v>
      </c>
      <c r="R224" s="220">
        <f>IF(T$220="Error","Error",IF(AND($P$220&lt;&gt;"/",$P$220&gt;Paramètres!$AX4),Paramètres!$AX5,"/"))</f>
        <v>3</v>
      </c>
      <c r="S224" s="195">
        <f>IF(R224&lt;&gt;"/",VLOOKUP(R224,COSTS_Wizard[#All],2),"/")</f>
        <v>450000</v>
      </c>
      <c r="T224" s="194">
        <f>IF(R224&lt;&gt;"/",VLOOKUP(R224,COSTS_Wizard[#All],3),"/")</f>
        <v>48</v>
      </c>
      <c r="U224" s="195">
        <f t="shared" si="102"/>
        <v>0</v>
      </c>
      <c r="V224" s="221">
        <f t="shared" si="103"/>
        <v>0</v>
      </c>
    </row>
    <row r="225" spans="1:22" ht="15" customHeight="1" x14ac:dyDescent="0.25">
      <c r="A225" s="266">
        <v>4</v>
      </c>
      <c r="B225" s="264">
        <f>IF(Paramètres!AE8=0,"",Paramètres!AE8)</f>
        <v>1</v>
      </c>
      <c r="C225" s="265">
        <f t="shared" si="96"/>
        <v>0</v>
      </c>
      <c r="D225" s="227"/>
      <c r="E225" s="228"/>
      <c r="F225" s="219">
        <f t="shared" si="97"/>
        <v>0</v>
      </c>
      <c r="G225" s="220">
        <f>IF(I$220="Error","Error",IF(AND($E$220&lt;&gt;"/",$E$220&gt;Paramètres!$AX5),Paramètres!$AX6,"/"))</f>
        <v>4</v>
      </c>
      <c r="H225" s="195">
        <f>IF(G225&lt;&gt;"/",VLOOKUP(G225,COSTS_Archer[#All],2),"/")</f>
        <v>750000</v>
      </c>
      <c r="I225" s="194">
        <f>IF(G225&lt;&gt;"/",VLOOKUP(G225,COSTS_Archer[#All],3),"/")</f>
        <v>72</v>
      </c>
      <c r="J225" s="195">
        <f t="shared" si="98"/>
        <v>0</v>
      </c>
      <c r="K225" s="221">
        <f t="shared" si="99"/>
        <v>0</v>
      </c>
      <c r="L225" s="266">
        <v>4</v>
      </c>
      <c r="M225" s="264" t="str">
        <f>IF(Paramètres!AJ8=0,"",Paramètres!AJ8)</f>
        <v/>
      </c>
      <c r="N225" s="265">
        <f t="shared" si="100"/>
        <v>1</v>
      </c>
      <c r="O225" s="227"/>
      <c r="P225" s="228"/>
      <c r="Q225" s="219">
        <f t="shared" si="101"/>
        <v>1</v>
      </c>
      <c r="R225" s="220">
        <f>IF(T$220="Error","Error",IF(AND($P$220&lt;&gt;"/",$P$220&gt;Paramètres!$AX5),Paramètres!$AX6,"/"))</f>
        <v>4</v>
      </c>
      <c r="S225" s="195">
        <f>IF(R225&lt;&gt;"/",VLOOKUP(R225,COSTS_Wizard[#All],2),"/")</f>
        <v>1350000</v>
      </c>
      <c r="T225" s="194">
        <f>IF(R225&lt;&gt;"/",VLOOKUP(R225,COSTS_Wizard[#All],3),"/")</f>
        <v>72</v>
      </c>
      <c r="U225" s="195">
        <f t="shared" si="102"/>
        <v>1350000</v>
      </c>
      <c r="V225" s="221">
        <f t="shared" si="103"/>
        <v>72</v>
      </c>
    </row>
    <row r="226" spans="1:22" ht="15" customHeight="1" thickBot="1" x14ac:dyDescent="0.3">
      <c r="A226" s="266">
        <v>5</v>
      </c>
      <c r="B226" s="264" t="str">
        <f>IF(Paramètres!AE9=0,"",Paramètres!AE9)</f>
        <v/>
      </c>
      <c r="C226" s="265">
        <f t="shared" si="96"/>
        <v>1</v>
      </c>
      <c r="D226" s="227"/>
      <c r="E226" s="228"/>
      <c r="F226" s="219" t="str">
        <f t="shared" si="97"/>
        <v>/</v>
      </c>
      <c r="G226" s="220" t="str">
        <f>IF(I$220="Error","Error",IF(AND($E$220&lt;&gt;"/",$E$220&gt;Paramètres!$AX6),Paramètres!$AX7,"/"))</f>
        <v>/</v>
      </c>
      <c r="H226" s="195" t="str">
        <f>IF(G226&lt;&gt;"/",VLOOKUP(G226,COSTS_Archer[#All],2),"/")</f>
        <v>/</v>
      </c>
      <c r="I226" s="194" t="str">
        <f>IF(G226&lt;&gt;"/",VLOOKUP(G226,COSTS_Archer[#All],3),"/")</f>
        <v>/</v>
      </c>
      <c r="J226" s="195">
        <f t="shared" si="98"/>
        <v>0</v>
      </c>
      <c r="K226" s="221">
        <f t="shared" si="99"/>
        <v>0</v>
      </c>
      <c r="L226" s="266">
        <v>5</v>
      </c>
      <c r="M226" s="264" t="str">
        <f>IF(Paramètres!AJ9=0,"",Paramètres!AJ9)</f>
        <v/>
      </c>
      <c r="N226" s="265">
        <f t="shared" si="100"/>
        <v>1</v>
      </c>
      <c r="O226" s="227"/>
      <c r="P226" s="228"/>
      <c r="Q226" s="219" t="str">
        <f t="shared" si="101"/>
        <v>/</v>
      </c>
      <c r="R226" s="220" t="str">
        <f>IF(T$220="Error","Error",IF(AND($P$220&lt;&gt;"/",$P$220&gt;Paramètres!$AX6),Paramètres!$AX7,"/"))</f>
        <v>/</v>
      </c>
      <c r="S226" s="195" t="str">
        <f>IF(R226&lt;&gt;"/",VLOOKUP(R226,COSTS_Wizard[#All],2),"/")</f>
        <v>/</v>
      </c>
      <c r="T226" s="194" t="str">
        <f>IF(R226&lt;&gt;"/",VLOOKUP(R226,COSTS_Wizard[#All],3),"/")</f>
        <v>/</v>
      </c>
      <c r="U226" s="195">
        <f t="shared" si="102"/>
        <v>0</v>
      </c>
      <c r="V226" s="221">
        <f t="shared" si="103"/>
        <v>0</v>
      </c>
    </row>
    <row r="227" spans="1:22" ht="15" customHeight="1" thickBot="1" x14ac:dyDescent="0.3">
      <c r="A227" s="266">
        <v>6</v>
      </c>
      <c r="B227" s="264" t="str">
        <f>IF(Paramètres!AE10=0,"",Paramètres!AE10)</f>
        <v/>
      </c>
      <c r="C227" s="265">
        <f t="shared" si="96"/>
        <v>1</v>
      </c>
      <c r="D227" s="227"/>
      <c r="E227" s="228"/>
      <c r="F227" s="219" t="str">
        <f t="shared" si="97"/>
        <v>/</v>
      </c>
      <c r="G227" s="220" t="str">
        <f>IF(I$220="Error","Error",IF(AND($E$220&lt;&gt;"/",$E$220&gt;Paramètres!$AX7),Paramètres!$AX8,"/"))</f>
        <v>/</v>
      </c>
      <c r="H227" s="195" t="str">
        <f>IF(G227&lt;&gt;"/",VLOOKUP(G227,COSTS_Archer[#All],2),"/")</f>
        <v>/</v>
      </c>
      <c r="I227" s="194" t="str">
        <f>IF(G227&lt;&gt;"/",VLOOKUP(G227,COSTS_Archer[#All],3),"/")</f>
        <v>/</v>
      </c>
      <c r="J227" s="195">
        <f t="shared" si="98"/>
        <v>0</v>
      </c>
      <c r="K227" s="221">
        <f t="shared" si="99"/>
        <v>0</v>
      </c>
      <c r="L227" s="420"/>
      <c r="M227" s="421"/>
      <c r="N227" s="421"/>
      <c r="O227" s="421"/>
      <c r="P227" s="421"/>
      <c r="Q227" s="421"/>
      <c r="R227" s="421"/>
      <c r="S227" s="424"/>
      <c r="T227" s="248" t="s">
        <v>15</v>
      </c>
      <c r="U227" s="249">
        <f>IF(T$220="Error","Error",SUM(U222:U226))</f>
        <v>1350000</v>
      </c>
      <c r="V227" s="250">
        <f>IF(T$220="Error","Error",SUM(V222:V226))</f>
        <v>72</v>
      </c>
    </row>
    <row r="228" spans="1:22" ht="15" customHeight="1" thickBot="1" x14ac:dyDescent="0.3">
      <c r="A228" s="420"/>
      <c r="B228" s="421"/>
      <c r="C228" s="421"/>
      <c r="D228" s="421"/>
      <c r="E228" s="421"/>
      <c r="F228" s="421"/>
      <c r="G228" s="421"/>
      <c r="H228" s="424"/>
      <c r="I228" s="248" t="s">
        <v>15</v>
      </c>
      <c r="J228" s="249">
        <f>IF(I$220="Error","Error",SUM(J222:J227))</f>
        <v>0</v>
      </c>
      <c r="K228" s="250">
        <f>IF(I$220="Error","Error",SUM(K222:K227))</f>
        <v>0</v>
      </c>
      <c r="L228" s="414" t="s">
        <v>88</v>
      </c>
      <c r="M228" s="415"/>
      <c r="N228" s="416"/>
      <c r="O228" s="164" t="s">
        <v>16</v>
      </c>
      <c r="P228" s="165" t="s">
        <v>17</v>
      </c>
      <c r="Q228" s="166"/>
      <c r="R228" s="167"/>
      <c r="S228" s="168"/>
      <c r="T228" s="164" t="s">
        <v>91</v>
      </c>
      <c r="U228" s="169" t="s">
        <v>90</v>
      </c>
      <c r="V228" s="165" t="s">
        <v>92</v>
      </c>
    </row>
    <row r="229" spans="1:22" ht="15" customHeight="1" thickBot="1" x14ac:dyDescent="0.3">
      <c r="A229" s="414" t="s">
        <v>21</v>
      </c>
      <c r="B229" s="415"/>
      <c r="C229" s="416"/>
      <c r="D229" s="164" t="s">
        <v>16</v>
      </c>
      <c r="E229" s="165" t="s">
        <v>17</v>
      </c>
      <c r="F229" s="166"/>
      <c r="G229" s="167"/>
      <c r="H229" s="168"/>
      <c r="I229" s="164" t="s">
        <v>91</v>
      </c>
      <c r="J229" s="169" t="s">
        <v>90</v>
      </c>
      <c r="K229" s="165" t="s">
        <v>92</v>
      </c>
      <c r="L229" s="417"/>
      <c r="M229" s="418"/>
      <c r="N229" s="419"/>
      <c r="O229" s="183">
        <f>VLOOKUP($A$1,AVAILABLE_Upgrades_Normal_Troops[#All],MATCH(L228,AVAILABLE_Upgrades_Normal_Troops[#Headers],0))</f>
        <v>1</v>
      </c>
      <c r="P229" s="184">
        <f>VLOOKUP($A$1,AVAILABLE_Upgrades_Normal_Troops[#All],MATCH(L228,AVAILABLE_Upgrades_Normal_Troops[#Headers],0)+1)</f>
        <v>2</v>
      </c>
      <c r="Q229" s="185"/>
      <c r="R229" s="186"/>
      <c r="S229" s="187"/>
      <c r="T229" s="183">
        <f>IF(SUM(M231:M234)&gt;O229,"Error",SUM(M231:M234))</f>
        <v>1</v>
      </c>
      <c r="U229" s="188">
        <f>IF(T$229="Error","Error",O229-T229)</f>
        <v>0</v>
      </c>
      <c r="V229" s="189">
        <f>IF(T$229="Error","Error",SUM(Q231:Q234))</f>
        <v>0</v>
      </c>
    </row>
    <row r="230" spans="1:22" ht="15" customHeight="1" thickBot="1" x14ac:dyDescent="0.3">
      <c r="A230" s="417"/>
      <c r="B230" s="418"/>
      <c r="C230" s="419"/>
      <c r="D230" s="183">
        <f>VLOOKUP($A$1,AVAILABLE_Upgrades_Normal_Troops[#All],MATCH(A229,AVAILABLE_Upgrades_Normal_Troops[#Headers],0))</f>
        <v>1</v>
      </c>
      <c r="E230" s="184">
        <f>VLOOKUP($A$1,AVAILABLE_Upgrades_Normal_Troops[#All],MATCH(A229,AVAILABLE_Upgrades_Normal_Troops[#Headers],0)+1)</f>
        <v>4</v>
      </c>
      <c r="F230" s="185"/>
      <c r="G230" s="186"/>
      <c r="H230" s="187"/>
      <c r="I230" s="183">
        <f>IF(SUM(B232:B236)&gt;D230,"Error",SUM(B232:B236))</f>
        <v>1</v>
      </c>
      <c r="J230" s="188">
        <f>IF(I$230="Error","Error",D230-I230)</f>
        <v>0</v>
      </c>
      <c r="K230" s="189">
        <f>IF(I$230="Error","Error",SUM(F232:F236))</f>
        <v>1</v>
      </c>
      <c r="L230" s="200" t="s">
        <v>14</v>
      </c>
      <c r="M230" s="262" t="s">
        <v>13</v>
      </c>
      <c r="N230" s="202"/>
      <c r="O230" s="202"/>
      <c r="P230" s="203"/>
      <c r="Q230" s="204" t="s">
        <v>13</v>
      </c>
      <c r="R230" s="205" t="s">
        <v>14</v>
      </c>
      <c r="S230" s="206" t="s">
        <v>133</v>
      </c>
      <c r="T230" s="206" t="s">
        <v>134</v>
      </c>
      <c r="U230" s="206" t="s">
        <v>74</v>
      </c>
      <c r="V230" s="207" t="s">
        <v>75</v>
      </c>
    </row>
    <row r="231" spans="1:22" ht="15" customHeight="1" thickBot="1" x14ac:dyDescent="0.3">
      <c r="A231" s="200" t="s">
        <v>14</v>
      </c>
      <c r="B231" s="262" t="s">
        <v>13</v>
      </c>
      <c r="C231" s="202"/>
      <c r="D231" s="202"/>
      <c r="E231" s="203"/>
      <c r="F231" s="204" t="s">
        <v>13</v>
      </c>
      <c r="G231" s="205" t="s">
        <v>14</v>
      </c>
      <c r="H231" s="206" t="s">
        <v>133</v>
      </c>
      <c r="I231" s="206" t="s">
        <v>134</v>
      </c>
      <c r="J231" s="206" t="s">
        <v>74</v>
      </c>
      <c r="K231" s="207" t="s">
        <v>75</v>
      </c>
      <c r="L231" s="263">
        <v>1</v>
      </c>
      <c r="M231" s="264" t="str">
        <f>IF(Paramètres!AK5=0,"",Paramètres!AK5)</f>
        <v/>
      </c>
      <c r="N231" s="265">
        <f t="shared" ref="N231:N234" si="104">IF(N230&lt;&gt;0,N230+IF(AND(M230&lt;&gt;"",L230&lt;P$6),M230,0),IF(AND(M230&lt;&gt;"",L230&lt;P$6),M230,0))</f>
        <v>0</v>
      </c>
      <c r="O231" s="217"/>
      <c r="P231" s="218"/>
      <c r="Q231" s="219">
        <f>IF(R231&lt;&gt;"/",IF(T$229="Error","Error",$U$229+N231),"/")</f>
        <v>0</v>
      </c>
      <c r="R231" s="220">
        <f>IF(T$229="Error","Error",IF(AND($P$229&lt;&gt;"/",$P$229&gt;Paramètres!$AX2),Paramètres!$AX3,"/"))</f>
        <v>1</v>
      </c>
      <c r="S231" s="195">
        <f>IF(R231&lt;&gt;"/",VLOOKUP(R231,COSTS_Healer[#All],2),"/")</f>
        <v>0</v>
      </c>
      <c r="T231" s="194">
        <f>IF(R231&lt;&gt;"/",VLOOKUP(R231,COSTS_Healer[#All],3),"/")</f>
        <v>0</v>
      </c>
      <c r="U231" s="195">
        <f>IF(T$229="Error","Error",IF(S231&lt;&gt;"/",Q231*S231,0))</f>
        <v>0</v>
      </c>
      <c r="V231" s="221">
        <f>IF(T$229="Error","Error",IF(T231&lt;&gt;"/",Q231*T231,0))</f>
        <v>0</v>
      </c>
    </row>
    <row r="232" spans="1:22" ht="15" customHeight="1" x14ac:dyDescent="0.25">
      <c r="A232" s="263">
        <v>1</v>
      </c>
      <c r="B232" s="264" t="str">
        <f>IF(Paramètres!AF5=0,"",Paramètres!AF5)</f>
        <v/>
      </c>
      <c r="C232" s="265">
        <f t="shared" ref="C232:C236" si="105">IF(C231&lt;&gt;0,C231+IF(AND(B231&lt;&gt;"",A231&lt;E$6),B231,0),IF(AND(B231&lt;&gt;"",A231&lt;E$6),B231,0))</f>
        <v>0</v>
      </c>
      <c r="D232" s="217"/>
      <c r="E232" s="218"/>
      <c r="F232" s="219">
        <f>IF(G232&lt;&gt;"/",IF(I$230="Error","Error",$J$230+C232),"/")</f>
        <v>0</v>
      </c>
      <c r="G232" s="220">
        <f>IF(I$230="Error","Error",IF(AND($E$230&lt;&gt;"/",$E$230&gt;Paramètres!$AX2),Paramètres!$AX3,"/"))</f>
        <v>1</v>
      </c>
      <c r="H232" s="195">
        <f>IF(G232&lt;&gt;"/",VLOOKUP(G232,COSTS_Goblin[#All],2),"/")</f>
        <v>0</v>
      </c>
      <c r="I232" s="194">
        <f>IF(G232&lt;&gt;"/",VLOOKUP(G232,COSTS_Goblin[#All],3),"/")</f>
        <v>0</v>
      </c>
      <c r="J232" s="195">
        <f>IF(I$230="Error","Error",IF(H232&lt;&gt;"/",F232*H232,0))</f>
        <v>0</v>
      </c>
      <c r="K232" s="221">
        <f>IF(I$230="Error","Error",IF(I232&lt;&gt;"/",F232*I232,0))</f>
        <v>0</v>
      </c>
      <c r="L232" s="266">
        <v>2</v>
      </c>
      <c r="M232" s="264">
        <f>IF(Paramètres!AK6=0,"",Paramètres!AK6)</f>
        <v>1</v>
      </c>
      <c r="N232" s="265">
        <f t="shared" si="104"/>
        <v>0</v>
      </c>
      <c r="O232" s="227"/>
      <c r="P232" s="228"/>
      <c r="Q232" s="219">
        <f t="shared" ref="Q232:Q234" si="106">IF(R232&lt;&gt;"/",IF(T$229="Error","Error",$U$229+N232),"/")</f>
        <v>0</v>
      </c>
      <c r="R232" s="220">
        <f>IF(T$229="Error","Error",IF(AND($P$229&lt;&gt;"/",$P$229&gt;Paramètres!$AX3),Paramètres!$AX4,"/"))</f>
        <v>2</v>
      </c>
      <c r="S232" s="195">
        <f>IF(R232&lt;&gt;"/",VLOOKUP(R232,COSTS_Healer[#All],2),"/")</f>
        <v>750000</v>
      </c>
      <c r="T232" s="194">
        <f>IF(R232&lt;&gt;"/",VLOOKUP(R232,COSTS_Healer[#All],3),"/")</f>
        <v>72</v>
      </c>
      <c r="U232" s="195">
        <f t="shared" ref="U232:U234" si="107">IF(T$229="Error","Error",IF(S232&lt;&gt;"/",Q232*S232,0))</f>
        <v>0</v>
      </c>
      <c r="V232" s="221">
        <f t="shared" ref="V232:V234" si="108">IF(T$229="Error","Error",IF(T232&lt;&gt;"/",Q232*T232,0))</f>
        <v>0</v>
      </c>
    </row>
    <row r="233" spans="1:22" ht="15" customHeight="1" x14ac:dyDescent="0.25">
      <c r="A233" s="266">
        <v>2</v>
      </c>
      <c r="B233" s="264" t="str">
        <f>IF(Paramètres!AF6=0,"",Paramètres!AF6)</f>
        <v/>
      </c>
      <c r="C233" s="265">
        <f t="shared" si="105"/>
        <v>0</v>
      </c>
      <c r="D233" s="227"/>
      <c r="E233" s="228"/>
      <c r="F233" s="219">
        <f>IF(G233&lt;&gt;"/",IF(I$230="Error","Error",$J$230+C233),"/")</f>
        <v>0</v>
      </c>
      <c r="G233" s="220">
        <f>IF(I$230="Error","Error",IF(AND($E$230&lt;&gt;"/",$E$230&gt;Paramètres!$AX3),Paramètres!$AX4,"/"))</f>
        <v>2</v>
      </c>
      <c r="H233" s="195">
        <f>IF(G233&lt;&gt;"/",VLOOKUP(G233,COSTS_Goblin[#All],2),"/")</f>
        <v>50000</v>
      </c>
      <c r="I233" s="194">
        <f>IF(G233&lt;&gt;"/",VLOOKUP(G233,COSTS_Goblin[#All],3),"/")</f>
        <v>12</v>
      </c>
      <c r="J233" s="195">
        <f>IF(I$230="Error","Error",IF(H233&lt;&gt;"/",F233*H233,0))</f>
        <v>0</v>
      </c>
      <c r="K233" s="221">
        <f>IF(I$230="Error","Error",IF(I233&lt;&gt;"/",F233*I233,0))</f>
        <v>0</v>
      </c>
      <c r="L233" s="266">
        <v>3</v>
      </c>
      <c r="M233" s="264" t="str">
        <f>IF(Paramètres!AK7=0,"",Paramètres!AK7)</f>
        <v/>
      </c>
      <c r="N233" s="265">
        <f t="shared" si="104"/>
        <v>1</v>
      </c>
      <c r="O233" s="227"/>
      <c r="P233" s="228"/>
      <c r="Q233" s="219" t="str">
        <f t="shared" si="106"/>
        <v>/</v>
      </c>
      <c r="R233" s="220" t="str">
        <f>IF(T$229="Error","Error",IF(AND($P$229&lt;&gt;"/",$P$229&gt;Paramètres!$AX4),Paramètres!$AX5,"/"))</f>
        <v>/</v>
      </c>
      <c r="S233" s="195" t="str">
        <f>IF(R233&lt;&gt;"/",VLOOKUP(R233,COSTS_Healer[#All],2),"/")</f>
        <v>/</v>
      </c>
      <c r="T233" s="194" t="str">
        <f>IF(R233&lt;&gt;"/",VLOOKUP(R233,COSTS_Healer[#All],3),"/")</f>
        <v>/</v>
      </c>
      <c r="U233" s="195">
        <f t="shared" si="107"/>
        <v>0</v>
      </c>
      <c r="V233" s="221">
        <f t="shared" si="108"/>
        <v>0</v>
      </c>
    </row>
    <row r="234" spans="1:22" ht="15" customHeight="1" thickBot="1" x14ac:dyDescent="0.3">
      <c r="A234" s="266">
        <v>3</v>
      </c>
      <c r="B234" s="264">
        <f>IF(Paramètres!AF7=0,"",Paramètres!AF7)</f>
        <v>1</v>
      </c>
      <c r="C234" s="265">
        <f t="shared" si="105"/>
        <v>0</v>
      </c>
      <c r="D234" s="227"/>
      <c r="E234" s="228"/>
      <c r="F234" s="219">
        <f>IF(G234&lt;&gt;"/",IF(I$230="Error","Error",$J$230+C234),"/")</f>
        <v>0</v>
      </c>
      <c r="G234" s="220">
        <f>IF(I$230="Error","Error",IF(AND($E$230&lt;&gt;"/",$E$230&gt;Paramètres!$AX4),Paramètres!$AX5,"/"))</f>
        <v>3</v>
      </c>
      <c r="H234" s="195">
        <f>IF(G234&lt;&gt;"/",VLOOKUP(G234,COSTS_Goblin[#All],2),"/")</f>
        <v>250000</v>
      </c>
      <c r="I234" s="194">
        <f>IF(G234&lt;&gt;"/",VLOOKUP(G234,COSTS_Goblin[#All],3),"/")</f>
        <v>48</v>
      </c>
      <c r="J234" s="195">
        <f>IF(I$230="Error","Error",IF(H234&lt;&gt;"/",F234*H234,0))</f>
        <v>0</v>
      </c>
      <c r="K234" s="221">
        <f>IF(I$230="Error","Error",IF(I234&lt;&gt;"/",F234*I234,0))</f>
        <v>0</v>
      </c>
      <c r="L234" s="266">
        <v>4</v>
      </c>
      <c r="M234" s="264" t="str">
        <f>IF(Paramètres!AK8=0,"",Paramètres!AK8)</f>
        <v/>
      </c>
      <c r="N234" s="265">
        <f t="shared" si="104"/>
        <v>1</v>
      </c>
      <c r="O234" s="227"/>
      <c r="P234" s="228"/>
      <c r="Q234" s="219" t="str">
        <f t="shared" si="106"/>
        <v>/</v>
      </c>
      <c r="R234" s="220" t="str">
        <f>IF(T$229="Error","Error",IF(AND($P$229&lt;&gt;"/",$P$229&gt;Paramètres!$AX5),Paramètres!$AX6,"/"))</f>
        <v>/</v>
      </c>
      <c r="S234" s="195" t="str">
        <f>IF(R234&lt;&gt;"/",VLOOKUP(R234,COSTS_Healer[#All],2),"/")</f>
        <v>/</v>
      </c>
      <c r="T234" s="194" t="str">
        <f>IF(R234&lt;&gt;"/",VLOOKUP(R234,COSTS_Healer[#All],3),"/")</f>
        <v>/</v>
      </c>
      <c r="U234" s="195">
        <f t="shared" si="107"/>
        <v>0</v>
      </c>
      <c r="V234" s="221">
        <f t="shared" si="108"/>
        <v>0</v>
      </c>
    </row>
    <row r="235" spans="1:22" ht="15" customHeight="1" thickBot="1" x14ac:dyDescent="0.3">
      <c r="A235" s="266">
        <v>4</v>
      </c>
      <c r="B235" s="264" t="str">
        <f>IF(Paramètres!AF8=0,"",Paramètres!AF8)</f>
        <v/>
      </c>
      <c r="C235" s="265">
        <f t="shared" si="105"/>
        <v>1</v>
      </c>
      <c r="D235" s="227"/>
      <c r="E235" s="228"/>
      <c r="F235" s="219">
        <f>IF(G235&lt;&gt;"/",IF(I$230="Error","Error",$J$230+C235),"/")</f>
        <v>1</v>
      </c>
      <c r="G235" s="220">
        <f>IF(I$230="Error","Error",IF(AND($E$230&lt;&gt;"/",$E$230&gt;Paramètres!$AX5),Paramètres!$AX6,"/"))</f>
        <v>4</v>
      </c>
      <c r="H235" s="195">
        <f>IF(G235&lt;&gt;"/",VLOOKUP(G235,COSTS_Goblin[#All],2),"/")</f>
        <v>750000</v>
      </c>
      <c r="I235" s="194">
        <f>IF(G235&lt;&gt;"/",VLOOKUP(G235,COSTS_Goblin[#All],3),"/")</f>
        <v>72</v>
      </c>
      <c r="J235" s="195">
        <f>IF(I$230="Error","Error",IF(H235&lt;&gt;"/",F235*H235,0))</f>
        <v>750000</v>
      </c>
      <c r="K235" s="221">
        <f>IF(I$230="Error","Error",IF(I235&lt;&gt;"/",F235*I235,0))</f>
        <v>72</v>
      </c>
      <c r="L235" s="420"/>
      <c r="M235" s="421"/>
      <c r="N235" s="421"/>
      <c r="O235" s="421"/>
      <c r="P235" s="421"/>
      <c r="Q235" s="421"/>
      <c r="R235" s="421"/>
      <c r="S235" s="424"/>
      <c r="T235" s="248" t="s">
        <v>15</v>
      </c>
      <c r="U235" s="249">
        <f>IF(T$229="Error","Error",SUM(U231:U234))</f>
        <v>0</v>
      </c>
      <c r="V235" s="250">
        <f>IF(T$229="Error","Error",SUM(V231:V234))</f>
        <v>0</v>
      </c>
    </row>
    <row r="236" spans="1:22" ht="15" customHeight="1" thickBot="1" x14ac:dyDescent="0.3">
      <c r="A236" s="266">
        <v>5</v>
      </c>
      <c r="B236" s="264" t="str">
        <f>IF(Paramètres!AF9=0,"",Paramètres!AF9)</f>
        <v/>
      </c>
      <c r="C236" s="265">
        <f t="shared" si="105"/>
        <v>1</v>
      </c>
      <c r="D236" s="227"/>
      <c r="E236" s="228"/>
      <c r="F236" s="219" t="str">
        <f>IF(G236&lt;&gt;"/",IF(I$230="Error","Error",$J$230+C236),"/")</f>
        <v>/</v>
      </c>
      <c r="G236" s="220" t="str">
        <f>IF(I$230="Error","Error",IF(AND($E$230&lt;&gt;"/",$E$230&gt;Paramètres!$AX6),Paramètres!$AX7,"/"))</f>
        <v>/</v>
      </c>
      <c r="H236" s="195" t="str">
        <f>IF(G236&lt;&gt;"/",VLOOKUP(G236,COSTS_Goblin[#All],2),"/")</f>
        <v>/</v>
      </c>
      <c r="I236" s="194" t="str">
        <f>IF(G236&lt;&gt;"/",VLOOKUP(G236,COSTS_Goblin[#All],3),"/")</f>
        <v>/</v>
      </c>
      <c r="J236" s="195">
        <f>IF(I$230="Error","Error",IF(H236&lt;&gt;"/",F236*H236,0))</f>
        <v>0</v>
      </c>
      <c r="K236" s="221">
        <f>IF(I$230="Error","Error",IF(I236&lt;&gt;"/",F236*I236,0))</f>
        <v>0</v>
      </c>
      <c r="L236" s="414" t="s">
        <v>22</v>
      </c>
      <c r="M236" s="415"/>
      <c r="N236" s="416"/>
      <c r="O236" s="164" t="s">
        <v>16</v>
      </c>
      <c r="P236" s="165" t="s">
        <v>17</v>
      </c>
      <c r="Q236" s="166"/>
      <c r="R236" s="167"/>
      <c r="S236" s="168"/>
      <c r="T236" s="164" t="s">
        <v>91</v>
      </c>
      <c r="U236" s="169" t="s">
        <v>90</v>
      </c>
      <c r="V236" s="165" t="s">
        <v>92</v>
      </c>
    </row>
    <row r="237" spans="1:22" ht="15" customHeight="1" thickBot="1" x14ac:dyDescent="0.3">
      <c r="A237" s="420"/>
      <c r="B237" s="421"/>
      <c r="C237" s="421"/>
      <c r="D237" s="421"/>
      <c r="E237" s="421"/>
      <c r="F237" s="421"/>
      <c r="G237" s="421"/>
      <c r="H237" s="424"/>
      <c r="I237" s="248" t="s">
        <v>15</v>
      </c>
      <c r="J237" s="249">
        <f>IF(I$230="Error","Error",SUM(J232:J236))</f>
        <v>750000</v>
      </c>
      <c r="K237" s="250">
        <f>IF(I$230="Error","Error",SUM(K232:K236))</f>
        <v>72</v>
      </c>
      <c r="L237" s="417"/>
      <c r="M237" s="418"/>
      <c r="N237" s="419"/>
      <c r="O237" s="183">
        <f>VLOOKUP($A$1,AVAILABLE_Upgrades_Normal_Troops[#All],MATCH(L236,AVAILABLE_Upgrades_Normal_Troops[#Headers],0))</f>
        <v>1</v>
      </c>
      <c r="P237" s="184">
        <f>VLOOKUP($A$1,AVAILABLE_Upgrades_Normal_Troops[#All],MATCH(L236,AVAILABLE_Upgrades_Normal_Troops[#Headers],0)+1)</f>
        <v>2</v>
      </c>
      <c r="Q237" s="185"/>
      <c r="R237" s="186"/>
      <c r="S237" s="187"/>
      <c r="T237" s="183">
        <f>IF(SUM(M239:M242)&gt;O237,"Error",SUM(M239:M242))</f>
        <v>1</v>
      </c>
      <c r="U237" s="188">
        <f>IF(T$237="Error","Error",O237-T237)</f>
        <v>0</v>
      </c>
      <c r="V237" s="189">
        <f>IF(T$237="Error","Error",SUM(Q239:Q242))</f>
        <v>1</v>
      </c>
    </row>
    <row r="238" spans="1:22" ht="15" customHeight="1" thickBot="1" x14ac:dyDescent="0.3">
      <c r="A238" s="414" t="s">
        <v>84</v>
      </c>
      <c r="B238" s="415"/>
      <c r="C238" s="416"/>
      <c r="D238" s="164" t="s">
        <v>16</v>
      </c>
      <c r="E238" s="165" t="s">
        <v>17</v>
      </c>
      <c r="F238" s="166"/>
      <c r="G238" s="167"/>
      <c r="H238" s="168"/>
      <c r="I238" s="164" t="s">
        <v>91</v>
      </c>
      <c r="J238" s="169" t="s">
        <v>90</v>
      </c>
      <c r="K238" s="165" t="s">
        <v>92</v>
      </c>
      <c r="L238" s="200" t="s">
        <v>14</v>
      </c>
      <c r="M238" s="262" t="s">
        <v>13</v>
      </c>
      <c r="N238" s="202"/>
      <c r="O238" s="202"/>
      <c r="P238" s="203"/>
      <c r="Q238" s="204" t="s">
        <v>13</v>
      </c>
      <c r="R238" s="205" t="s">
        <v>14</v>
      </c>
      <c r="S238" s="206" t="s">
        <v>133</v>
      </c>
      <c r="T238" s="206" t="s">
        <v>134</v>
      </c>
      <c r="U238" s="206" t="s">
        <v>74</v>
      </c>
      <c r="V238" s="207" t="s">
        <v>75</v>
      </c>
    </row>
    <row r="239" spans="1:22" ht="15" customHeight="1" thickBot="1" x14ac:dyDescent="0.3">
      <c r="A239" s="417"/>
      <c r="B239" s="418"/>
      <c r="C239" s="419"/>
      <c r="D239" s="183">
        <f>VLOOKUP($A$1,AVAILABLE_Upgrades_Normal_Troops[#All],MATCH(A238,AVAILABLE_Upgrades_Normal_Troops[#Headers],0))</f>
        <v>1</v>
      </c>
      <c r="E239" s="184">
        <f>VLOOKUP($A$1,AVAILABLE_Upgrades_Normal_Troops[#All],MATCH(A238,AVAILABLE_Upgrades_Normal_Troops[#Headers],0)+1)</f>
        <v>4</v>
      </c>
      <c r="F239" s="185"/>
      <c r="G239" s="186"/>
      <c r="H239" s="187"/>
      <c r="I239" s="183">
        <f>IF(SUM(B241:B246)&gt;D239,"Error",SUM(B241:B246))</f>
        <v>1</v>
      </c>
      <c r="J239" s="188">
        <f>IF(I$239="Error","Error",D239-I239)</f>
        <v>0</v>
      </c>
      <c r="K239" s="189">
        <f>IF(I$239="Error","Error",SUM(F241:F246))</f>
        <v>0</v>
      </c>
      <c r="L239" s="263">
        <v>1</v>
      </c>
      <c r="M239" s="264">
        <f>IF(Paramètres!AL5=0,"",Paramètres!AL5)</f>
        <v>1</v>
      </c>
      <c r="N239" s="265">
        <f t="shared" ref="N239:N242" si="109">IF(N238&lt;&gt;0,N238+IF(AND(M238&lt;&gt;"",L238&lt;P$6),M238,0),IF(AND(M238&lt;&gt;"",L238&lt;P$6),M238,0))</f>
        <v>0</v>
      </c>
      <c r="O239" s="217"/>
      <c r="P239" s="218"/>
      <c r="Q239" s="219">
        <f>IF(R239&lt;&gt;"/",IF(T$237="Error","Error",$U$237+N239),"/")</f>
        <v>0</v>
      </c>
      <c r="R239" s="220">
        <f>IF(T$237="Error","Error",IF(AND($P$237&lt;&gt;"/",$P$237&gt;Paramètres!$AX2),Paramètres!$AX3,"/"))</f>
        <v>1</v>
      </c>
      <c r="S239" s="195">
        <f>IF(R239&lt;&gt;"/",VLOOKUP(R239,COSTS_Dragon[#All],2),"/")</f>
        <v>0</v>
      </c>
      <c r="T239" s="194">
        <f>IF(R239&lt;&gt;"/",VLOOKUP(R239,COSTS_Dragon[#All],3),"/")</f>
        <v>0</v>
      </c>
      <c r="U239" s="195">
        <f>IF(T$237="Error","Error",IF(S239&lt;&gt;"/",Q239*S239,0))</f>
        <v>0</v>
      </c>
      <c r="V239" s="221">
        <f>IF(T$237="Error","Error",IF(T239&lt;&gt;"/",Q239*T239,0))</f>
        <v>0</v>
      </c>
    </row>
    <row r="240" spans="1:22" ht="15" customHeight="1" thickBot="1" x14ac:dyDescent="0.3">
      <c r="A240" s="200" t="s">
        <v>14</v>
      </c>
      <c r="B240" s="262" t="s">
        <v>13</v>
      </c>
      <c r="C240" s="202"/>
      <c r="D240" s="202"/>
      <c r="E240" s="203"/>
      <c r="F240" s="204" t="s">
        <v>13</v>
      </c>
      <c r="G240" s="205" t="s">
        <v>14</v>
      </c>
      <c r="H240" s="206" t="s">
        <v>133</v>
      </c>
      <c r="I240" s="206" t="s">
        <v>134</v>
      </c>
      <c r="J240" s="206" t="s">
        <v>74</v>
      </c>
      <c r="K240" s="207" t="s">
        <v>75</v>
      </c>
      <c r="L240" s="266">
        <v>2</v>
      </c>
      <c r="M240" s="264" t="str">
        <f>IF(Paramètres!AL6=0,"",Paramètres!AL6)</f>
        <v/>
      </c>
      <c r="N240" s="265">
        <f t="shared" si="109"/>
        <v>1</v>
      </c>
      <c r="O240" s="227"/>
      <c r="P240" s="228"/>
      <c r="Q240" s="219">
        <f t="shared" ref="Q240:Q242" si="110">IF(R240&lt;&gt;"/",IF(T$237="Error","Error",$U$237+N240),"/")</f>
        <v>1</v>
      </c>
      <c r="R240" s="220">
        <f>IF(T$237="Error","Error",IF(AND($P$237&lt;&gt;"/",$P$237&gt;Paramètres!$AX3),Paramètres!$AX4,"/"))</f>
        <v>2</v>
      </c>
      <c r="S240" s="195">
        <f>IF(R240&lt;&gt;"/",VLOOKUP(R240,COSTS_Dragon[#All],2),"/")</f>
        <v>2000000</v>
      </c>
      <c r="T240" s="194">
        <f>IF(R240&lt;&gt;"/",VLOOKUP(R240,COSTS_Dragon[#All],3),"/")</f>
        <v>168</v>
      </c>
      <c r="U240" s="195">
        <f t="shared" ref="U240:U242" si="111">IF(T$237="Error","Error",IF(S240&lt;&gt;"/",Q240*S240,0))</f>
        <v>2000000</v>
      </c>
      <c r="V240" s="221">
        <f t="shared" ref="V240:V242" si="112">IF(T$237="Error","Error",IF(T240&lt;&gt;"/",Q240*T240,0))</f>
        <v>168</v>
      </c>
    </row>
    <row r="241" spans="1:22" ht="15" customHeight="1" x14ac:dyDescent="0.25">
      <c r="A241" s="263">
        <v>1</v>
      </c>
      <c r="B241" s="264" t="str">
        <f>IF(Paramètres!AG5=0,"",Paramètres!AG5)</f>
        <v/>
      </c>
      <c r="C241" s="265">
        <f t="shared" ref="C241:C246" si="113">IF(C240&lt;&gt;0,C240+IF(AND(B240&lt;&gt;"",A240&lt;E$6),B240,0),IF(AND(B240&lt;&gt;"",A240&lt;E$6),B240,0))</f>
        <v>0</v>
      </c>
      <c r="D241" s="217"/>
      <c r="E241" s="218"/>
      <c r="F241" s="219">
        <f t="shared" ref="F241:F246" si="114">IF(G241&lt;&gt;"/",IF(I$239="Error","Error",$J$239+C241),"/")</f>
        <v>0</v>
      </c>
      <c r="G241" s="220">
        <f>IF(I$239="Error","Error",IF(AND($E$239&lt;&gt;"/",$E$239&gt;Paramètres!$AX2),Paramètres!$AX3,"/"))</f>
        <v>1</v>
      </c>
      <c r="H241" s="195">
        <f>IF(G241&lt;&gt;"/",VLOOKUP(G241,COSTS_Giant[#All],2),"/")</f>
        <v>0</v>
      </c>
      <c r="I241" s="194">
        <f>IF(G241&lt;&gt;"/",VLOOKUP(G241,COSTS_Giant[#All],3),"/")</f>
        <v>0</v>
      </c>
      <c r="J241" s="195">
        <f t="shared" ref="J241:J246" si="115">IF(I$239="Error","Error",IF(H241&lt;&gt;"/",F241*H241,0))</f>
        <v>0</v>
      </c>
      <c r="K241" s="221">
        <f t="shared" ref="K241:K246" si="116">IF(I$239="Error","Error",IF(I241&lt;&gt;"/",F241*I241,0))</f>
        <v>0</v>
      </c>
      <c r="L241" s="266">
        <v>3</v>
      </c>
      <c r="M241" s="264" t="str">
        <f>IF(Paramètres!AL7=0,"",Paramètres!AL7)</f>
        <v/>
      </c>
      <c r="N241" s="265">
        <f t="shared" si="109"/>
        <v>1</v>
      </c>
      <c r="O241" s="227"/>
      <c r="P241" s="228"/>
      <c r="Q241" s="219" t="str">
        <f t="shared" si="110"/>
        <v>/</v>
      </c>
      <c r="R241" s="220" t="str">
        <f>IF(T$237="Error","Error",IF(AND($P$237&lt;&gt;"/",$P$237&gt;Paramètres!$AX4),Paramètres!$AX5,"/"))</f>
        <v>/</v>
      </c>
      <c r="S241" s="195" t="str">
        <f>IF(R241&lt;&gt;"/",VLOOKUP(R241,COSTS_Dragon[#All],2),"/")</f>
        <v>/</v>
      </c>
      <c r="T241" s="194" t="str">
        <f>IF(R241&lt;&gt;"/",VLOOKUP(R241,COSTS_Dragon[#All],3),"/")</f>
        <v>/</v>
      </c>
      <c r="U241" s="195">
        <f t="shared" si="111"/>
        <v>0</v>
      </c>
      <c r="V241" s="221">
        <f t="shared" si="112"/>
        <v>0</v>
      </c>
    </row>
    <row r="242" spans="1:22" ht="15" customHeight="1" thickBot="1" x14ac:dyDescent="0.3">
      <c r="A242" s="266">
        <v>2</v>
      </c>
      <c r="B242" s="264" t="str">
        <f>IF(Paramètres!AG6=0,"",Paramètres!AG6)</f>
        <v/>
      </c>
      <c r="C242" s="265">
        <f t="shared" si="113"/>
        <v>0</v>
      </c>
      <c r="D242" s="227"/>
      <c r="E242" s="228"/>
      <c r="F242" s="219">
        <f t="shared" si="114"/>
        <v>0</v>
      </c>
      <c r="G242" s="220">
        <f>IF(I$239="Error","Error",IF(AND($E$239&lt;&gt;"/",$E$239&gt;Paramètres!$AX3),Paramètres!$AX4,"/"))</f>
        <v>2</v>
      </c>
      <c r="H242" s="195">
        <f>IF(G242&lt;&gt;"/",VLOOKUP(G242,COSTS_Giant[#All],2),"/")</f>
        <v>100000</v>
      </c>
      <c r="I242" s="194">
        <f>IF(G242&lt;&gt;"/",VLOOKUP(G242,COSTS_Giant[#All],3),"/")</f>
        <v>24</v>
      </c>
      <c r="J242" s="195">
        <f t="shared" si="115"/>
        <v>0</v>
      </c>
      <c r="K242" s="221">
        <f t="shared" si="116"/>
        <v>0</v>
      </c>
      <c r="L242" s="266">
        <v>4</v>
      </c>
      <c r="M242" s="264" t="str">
        <f>IF(Paramètres!AL8=0,"",Paramètres!AL8)</f>
        <v/>
      </c>
      <c r="N242" s="265">
        <f t="shared" si="109"/>
        <v>1</v>
      </c>
      <c r="O242" s="227"/>
      <c r="P242" s="228"/>
      <c r="Q242" s="219" t="str">
        <f t="shared" si="110"/>
        <v>/</v>
      </c>
      <c r="R242" s="220" t="str">
        <f>IF(T$237="Error","Error",IF(AND($P$237&lt;&gt;"/",$P$237&gt;Paramètres!$AX5),Paramètres!$AX6,"/"))</f>
        <v>/</v>
      </c>
      <c r="S242" s="195" t="str">
        <f>IF(R242&lt;&gt;"/",VLOOKUP(R242,COSTS_Dragon[#All],2),"/")</f>
        <v>/</v>
      </c>
      <c r="T242" s="194" t="str">
        <f>IF(R242&lt;&gt;"/",VLOOKUP(R242,COSTS_Dragon[#All],3),"/")</f>
        <v>/</v>
      </c>
      <c r="U242" s="195">
        <f t="shared" si="111"/>
        <v>0</v>
      </c>
      <c r="V242" s="221">
        <f t="shared" si="112"/>
        <v>0</v>
      </c>
    </row>
    <row r="243" spans="1:22" ht="15" customHeight="1" thickBot="1" x14ac:dyDescent="0.3">
      <c r="A243" s="266">
        <v>3</v>
      </c>
      <c r="B243" s="264" t="str">
        <f>IF(Paramètres!AG7=0,"",Paramètres!AG7)</f>
        <v/>
      </c>
      <c r="C243" s="265">
        <f t="shared" si="113"/>
        <v>0</v>
      </c>
      <c r="D243" s="227"/>
      <c r="E243" s="228"/>
      <c r="F243" s="219">
        <f t="shared" si="114"/>
        <v>0</v>
      </c>
      <c r="G243" s="220">
        <f>IF(I$239="Error","Error",IF(AND($E$239&lt;&gt;"/",$E$239&gt;Paramètres!$AX4),Paramètres!$AX5,"/"))</f>
        <v>3</v>
      </c>
      <c r="H243" s="195">
        <f>IF(G243&lt;&gt;"/",VLOOKUP(G243,COSTS_Giant[#All],2),"/")</f>
        <v>250000</v>
      </c>
      <c r="I243" s="194">
        <f>IF(G243&lt;&gt;"/",VLOOKUP(G243,COSTS_Giant[#All],3),"/")</f>
        <v>48</v>
      </c>
      <c r="J243" s="195">
        <f t="shared" si="115"/>
        <v>0</v>
      </c>
      <c r="K243" s="221">
        <f t="shared" si="116"/>
        <v>0</v>
      </c>
      <c r="L243" s="420"/>
      <c r="M243" s="421"/>
      <c r="N243" s="421"/>
      <c r="O243" s="421"/>
      <c r="P243" s="421"/>
      <c r="Q243" s="421"/>
      <c r="R243" s="421"/>
      <c r="S243" s="424"/>
      <c r="T243" s="248" t="s">
        <v>15</v>
      </c>
      <c r="U243" s="249">
        <f>IF(T$237="Error","Error",SUM(U239:U242))</f>
        <v>2000000</v>
      </c>
      <c r="V243" s="250">
        <f>IF(T$237="Error","Error",SUM(V239:V242))</f>
        <v>168</v>
      </c>
    </row>
    <row r="244" spans="1:22" ht="15" customHeight="1" x14ac:dyDescent="0.25">
      <c r="A244" s="266">
        <v>4</v>
      </c>
      <c r="B244" s="264">
        <f>IF(Paramètres!AG8=0,"",Paramètres!AG8)</f>
        <v>1</v>
      </c>
      <c r="C244" s="265">
        <f t="shared" si="113"/>
        <v>0</v>
      </c>
      <c r="D244" s="227"/>
      <c r="E244" s="228"/>
      <c r="F244" s="219">
        <f t="shared" si="114"/>
        <v>0</v>
      </c>
      <c r="G244" s="220">
        <f>IF(I$239="Error","Error",IF(AND($E$239&lt;&gt;"/",$E$239&gt;Paramètres!$AX5),Paramètres!$AX6,"/"))</f>
        <v>4</v>
      </c>
      <c r="H244" s="195">
        <f>IF(G244&lt;&gt;"/",VLOOKUP(G244,COSTS_Giant[#All],2),"/")</f>
        <v>750000</v>
      </c>
      <c r="I244" s="194">
        <f>IF(G244&lt;&gt;"/",VLOOKUP(G244,COSTS_Giant[#All],3),"/")</f>
        <v>72</v>
      </c>
      <c r="J244" s="195">
        <f t="shared" si="115"/>
        <v>0</v>
      </c>
      <c r="K244" s="221">
        <f t="shared" si="116"/>
        <v>0</v>
      </c>
      <c r="L244" s="414" t="s">
        <v>23</v>
      </c>
      <c r="M244" s="415"/>
      <c r="N244" s="416"/>
      <c r="O244" s="164" t="s">
        <v>16</v>
      </c>
      <c r="P244" s="165" t="s">
        <v>17</v>
      </c>
      <c r="Q244" s="166"/>
      <c r="R244" s="167"/>
      <c r="S244" s="168"/>
      <c r="T244" s="164" t="s">
        <v>91</v>
      </c>
      <c r="U244" s="169" t="s">
        <v>90</v>
      </c>
      <c r="V244" s="165" t="s">
        <v>92</v>
      </c>
    </row>
    <row r="245" spans="1:22" ht="15" customHeight="1" thickBot="1" x14ac:dyDescent="0.3">
      <c r="A245" s="266">
        <v>5</v>
      </c>
      <c r="B245" s="264" t="str">
        <f>IF(Paramètres!AG9=0,"",Paramètres!AG9)</f>
        <v/>
      </c>
      <c r="C245" s="265">
        <f t="shared" si="113"/>
        <v>1</v>
      </c>
      <c r="D245" s="227"/>
      <c r="E245" s="228"/>
      <c r="F245" s="219" t="str">
        <f t="shared" si="114"/>
        <v>/</v>
      </c>
      <c r="G245" s="220" t="str">
        <f>IF(I$239="Error","Error",IF(AND($E$239&lt;&gt;"/",$E$239&gt;Paramètres!$AX6),Paramètres!$AX7,"/"))</f>
        <v>/</v>
      </c>
      <c r="H245" s="195" t="str">
        <f>IF(G245&lt;&gt;"/",VLOOKUP(G245,COSTS_Giant[#All],2),"/")</f>
        <v>/</v>
      </c>
      <c r="I245" s="194" t="str">
        <f>IF(G245&lt;&gt;"/",VLOOKUP(G245,COSTS_Giant[#All],3),"/")</f>
        <v>/</v>
      </c>
      <c r="J245" s="195">
        <f t="shared" si="115"/>
        <v>0</v>
      </c>
      <c r="K245" s="221">
        <f t="shared" si="116"/>
        <v>0</v>
      </c>
      <c r="L245" s="417"/>
      <c r="M245" s="418"/>
      <c r="N245" s="419"/>
      <c r="O245" s="183">
        <f>VLOOKUP($A$1,AVAILABLE_Upgrades_Normal_Troops[#All],MATCH(L244,AVAILABLE_Upgrades_Normal_Troops[#Headers],0))</f>
        <v>0</v>
      </c>
      <c r="P245" s="184">
        <f>VLOOKUP($A$1,AVAILABLE_Upgrades_Normal_Troops[#All],MATCH(L244,AVAILABLE_Upgrades_Normal_Troops[#Headers],0)+1)</f>
        <v>0</v>
      </c>
      <c r="Q245" s="185"/>
      <c r="R245" s="186"/>
      <c r="S245" s="187"/>
      <c r="T245" s="183">
        <f>IF(SUM(M247:M250)&gt;O245,"Error",SUM(M247:M250))</f>
        <v>0</v>
      </c>
      <c r="U245" s="188">
        <f>IF(T$245="Error","Error",O245-T245)</f>
        <v>0</v>
      </c>
      <c r="V245" s="189">
        <f>IF(T$245="Error","Error",SUM(Q247:Q250))</f>
        <v>0</v>
      </c>
    </row>
    <row r="246" spans="1:22" ht="15" customHeight="1" thickBot="1" x14ac:dyDescent="0.3">
      <c r="A246" s="266">
        <v>6</v>
      </c>
      <c r="B246" s="264" t="str">
        <f>IF(Paramètres!AG10=0,"",Paramètres!AG10)</f>
        <v/>
      </c>
      <c r="C246" s="265">
        <f t="shared" si="113"/>
        <v>1</v>
      </c>
      <c r="D246" s="227"/>
      <c r="E246" s="228"/>
      <c r="F246" s="219" t="str">
        <f t="shared" si="114"/>
        <v>/</v>
      </c>
      <c r="G246" s="220" t="str">
        <f>IF(I$239="Error","Error",IF(AND($E$239&lt;&gt;"/",$E$239&gt;Paramètres!$AX7),Paramètres!$AX8,"/"))</f>
        <v>/</v>
      </c>
      <c r="H246" s="195" t="str">
        <f>IF(G246&lt;&gt;"/",VLOOKUP(G246,COSTS_Giant[#All],2),"/")</f>
        <v>/</v>
      </c>
      <c r="I246" s="194" t="str">
        <f>IF(G246&lt;&gt;"/",VLOOKUP(G246,COSTS_Giant[#All],3),"/")</f>
        <v>/</v>
      </c>
      <c r="J246" s="195">
        <f t="shared" si="115"/>
        <v>0</v>
      </c>
      <c r="K246" s="221">
        <f t="shared" si="116"/>
        <v>0</v>
      </c>
      <c r="L246" s="200" t="s">
        <v>14</v>
      </c>
      <c r="M246" s="262" t="s">
        <v>13</v>
      </c>
      <c r="N246" s="202"/>
      <c r="O246" s="202"/>
      <c r="P246" s="203"/>
      <c r="Q246" s="204" t="s">
        <v>13</v>
      </c>
      <c r="R246" s="205" t="s">
        <v>14</v>
      </c>
      <c r="S246" s="206" t="s">
        <v>133</v>
      </c>
      <c r="T246" s="206" t="s">
        <v>134</v>
      </c>
      <c r="U246" s="206" t="s">
        <v>74</v>
      </c>
      <c r="V246" s="207" t="s">
        <v>75</v>
      </c>
    </row>
    <row r="247" spans="1:22" ht="15" customHeight="1" thickBot="1" x14ac:dyDescent="0.3">
      <c r="A247" s="420"/>
      <c r="B247" s="421"/>
      <c r="C247" s="421"/>
      <c r="D247" s="421"/>
      <c r="E247" s="421"/>
      <c r="F247" s="421"/>
      <c r="G247" s="421"/>
      <c r="H247" s="424"/>
      <c r="I247" s="248" t="s">
        <v>15</v>
      </c>
      <c r="J247" s="249">
        <f>IF(I$239="Error","Error",SUM(J241:J246))</f>
        <v>0</v>
      </c>
      <c r="K247" s="250">
        <f>IF(I$239="Error","Error",SUM(K241:K246))</f>
        <v>0</v>
      </c>
      <c r="L247" s="263">
        <v>1</v>
      </c>
      <c r="M247" s="264" t="str">
        <f>IF(Paramètres!AM5=0,"",Paramètres!AM5)</f>
        <v/>
      </c>
      <c r="N247" s="265">
        <f>IF(N246&lt;&gt;0,N246+IF(AND(M246&lt;&gt;"",L246&lt;P$6),M246,0),IF(AND(M246&lt;&gt;"",L246&lt;P$6),M246,0))</f>
        <v>0</v>
      </c>
      <c r="O247" s="217"/>
      <c r="P247" s="218"/>
      <c r="Q247" s="219" t="str">
        <f>IF(R247&lt;&gt;"/",IF(T$245="Error","Error",$U$245+N247),"/")</f>
        <v>/</v>
      </c>
      <c r="R247" s="220" t="str">
        <f>IF(T$245="Error","Error",IF(AND($P$245&lt;&gt;"/",$P$245&gt;Paramètres!$AX2),Paramètres!$AX3,"/"))</f>
        <v>/</v>
      </c>
      <c r="S247" s="195" t="str">
        <f>IF(R247&lt;&gt;"/",VLOOKUP(R247,COSTS_PEKKA[#All],2),"/")</f>
        <v>/</v>
      </c>
      <c r="T247" s="194" t="str">
        <f>IF(R247&lt;&gt;"/",VLOOKUP(R247,COSTS_PEKKA[#All],3),"/")</f>
        <v>/</v>
      </c>
      <c r="U247" s="195">
        <f>IF(T$245="Error","Error",IF(S247&lt;&gt;"/",Q247*S247,0))</f>
        <v>0</v>
      </c>
      <c r="V247" s="221">
        <f>IF(T$245="Error","Error",IF(T247&lt;&gt;"/",Q247*T247,0))</f>
        <v>0</v>
      </c>
    </row>
    <row r="248" spans="1:22" ht="15" customHeight="1" x14ac:dyDescent="0.25">
      <c r="A248" s="414" t="s">
        <v>138</v>
      </c>
      <c r="B248" s="415"/>
      <c r="C248" s="416"/>
      <c r="D248" s="164" t="s">
        <v>16</v>
      </c>
      <c r="E248" s="165" t="s">
        <v>17</v>
      </c>
      <c r="F248" s="166"/>
      <c r="G248" s="167"/>
      <c r="H248" s="168"/>
      <c r="I248" s="164" t="s">
        <v>91</v>
      </c>
      <c r="J248" s="169" t="s">
        <v>90</v>
      </c>
      <c r="K248" s="165" t="s">
        <v>92</v>
      </c>
      <c r="L248" s="266">
        <v>2</v>
      </c>
      <c r="M248" s="264" t="str">
        <f>IF(Paramètres!AM6=0,"",Paramètres!AM6)</f>
        <v/>
      </c>
      <c r="N248" s="265">
        <f>IF(N247&lt;&gt;0,N247+IF(AND(M247&lt;&gt;"",L247&lt;P$6),M247,0),IF(AND(M247&lt;&gt;"",L247&lt;P$6),M247,0))</f>
        <v>0</v>
      </c>
      <c r="O248" s="227"/>
      <c r="P248" s="228"/>
      <c r="Q248" s="219" t="str">
        <f>IF(R248&lt;&gt;"/",IF(T$245="Error","Error",$U$245+N248),"/")</f>
        <v>/</v>
      </c>
      <c r="R248" s="220" t="str">
        <f>IF(T$245="Error","Error",IF(AND($P$245&lt;&gt;"/",$P$245&gt;Paramètres!$AX3),Paramètres!$AX4,"/"))</f>
        <v>/</v>
      </c>
      <c r="S248" s="195" t="str">
        <f>IF(R248&lt;&gt;"/",VLOOKUP(R248,COSTS_PEKKA[#All],2),"/")</f>
        <v>/</v>
      </c>
      <c r="T248" s="194" t="str">
        <f>IF(R248&lt;&gt;"/",VLOOKUP(R248,COSTS_PEKKA[#All],3),"/")</f>
        <v>/</v>
      </c>
      <c r="U248" s="195">
        <f>IF(T$245="Error","Error",IF(S248&lt;&gt;"/",Q248*S248,0))</f>
        <v>0</v>
      </c>
      <c r="V248" s="221">
        <f>IF(T$245="Error","Error",IF(T248&lt;&gt;"/",Q248*T248,0))</f>
        <v>0</v>
      </c>
    </row>
    <row r="249" spans="1:22" ht="15" customHeight="1" thickBot="1" x14ac:dyDescent="0.3">
      <c r="A249" s="417"/>
      <c r="B249" s="418"/>
      <c r="C249" s="419"/>
      <c r="D249" s="183">
        <f>VLOOKUP($A$1,AVAILABLE_Upgrades_Normal_Troops[#All],MATCH(A248,AVAILABLE_Upgrades_Normal_Troops[#Headers],0))</f>
        <v>1</v>
      </c>
      <c r="E249" s="184">
        <f>VLOOKUP($A$1,AVAILABLE_Upgrades_Normal_Troops[#All],MATCH(A248,AVAILABLE_Upgrades_Normal_Troops[#Headers],0)+1)</f>
        <v>4</v>
      </c>
      <c r="F249" s="185"/>
      <c r="G249" s="186"/>
      <c r="H249" s="187"/>
      <c r="I249" s="183">
        <f>IF(SUM(B251:B255)&gt;D249,"Error",SUM(B251:B255))</f>
        <v>1</v>
      </c>
      <c r="J249" s="188">
        <f>IF(I$249="Error","Error",D249-I249)</f>
        <v>0</v>
      </c>
      <c r="K249" s="189">
        <f>IF(I$249="Error","Error",SUM(F251:F255))</f>
        <v>0</v>
      </c>
      <c r="L249" s="266">
        <v>3</v>
      </c>
      <c r="M249" s="264" t="str">
        <f>IF(Paramètres!AM7=0,"",Paramètres!AM7)</f>
        <v/>
      </c>
      <c r="N249" s="265">
        <f>IF(N248&lt;&gt;0,N248+IF(AND(M248&lt;&gt;"",L248&lt;P$6),M248,0),IF(AND(M248&lt;&gt;"",L248&lt;P$6),M248,0))</f>
        <v>0</v>
      </c>
      <c r="O249" s="227"/>
      <c r="P249" s="228"/>
      <c r="Q249" s="219" t="str">
        <f>IF(R249&lt;&gt;"/",IF(T$245="Error","Error",$U$245+N249),"/")</f>
        <v>/</v>
      </c>
      <c r="R249" s="220" t="str">
        <f>IF(T$245="Error","Error",IF(AND($P$245&lt;&gt;"/",$P$245&gt;Paramètres!$AX4),Paramètres!$AX5,"/"))</f>
        <v>/</v>
      </c>
      <c r="S249" s="195" t="str">
        <f>IF(R249&lt;&gt;"/",VLOOKUP(R249,COSTS_PEKKA[#All],2),"/")</f>
        <v>/</v>
      </c>
      <c r="T249" s="194" t="str">
        <f>IF(R249&lt;&gt;"/",VLOOKUP(R249,COSTS_PEKKA[#All],3),"/")</f>
        <v>/</v>
      </c>
      <c r="U249" s="195">
        <f>IF(T$245="Error","Error",IF(S249&lt;&gt;"/",Q249*S249,0))</f>
        <v>0</v>
      </c>
      <c r="V249" s="221">
        <f>IF(T$245="Error","Error",IF(T249&lt;&gt;"/",Q249*T249,0))</f>
        <v>0</v>
      </c>
    </row>
    <row r="250" spans="1:22" ht="15" customHeight="1" thickBot="1" x14ac:dyDescent="0.3">
      <c r="A250" s="200" t="s">
        <v>14</v>
      </c>
      <c r="B250" s="262" t="s">
        <v>13</v>
      </c>
      <c r="C250" s="202"/>
      <c r="D250" s="202"/>
      <c r="E250" s="203"/>
      <c r="F250" s="204" t="s">
        <v>13</v>
      </c>
      <c r="G250" s="205" t="s">
        <v>14</v>
      </c>
      <c r="H250" s="206" t="s">
        <v>133</v>
      </c>
      <c r="I250" s="206" t="s">
        <v>134</v>
      </c>
      <c r="J250" s="206" t="s">
        <v>74</v>
      </c>
      <c r="K250" s="207" t="s">
        <v>75</v>
      </c>
      <c r="L250" s="266">
        <v>4</v>
      </c>
      <c r="M250" s="264" t="str">
        <f>IF(Paramètres!AM8=0,"",Paramètres!AM8)</f>
        <v/>
      </c>
      <c r="N250" s="265">
        <f>IF(N249&lt;&gt;0,N249+IF(AND(M249&lt;&gt;"",L249&lt;P$6),M249,0),IF(AND(M249&lt;&gt;"",L249&lt;P$6),M249,0))</f>
        <v>0</v>
      </c>
      <c r="O250" s="227"/>
      <c r="P250" s="228"/>
      <c r="Q250" s="219" t="str">
        <f>IF(R250&lt;&gt;"/",IF(T$245="Error","Error",$U$245+N250),"/")</f>
        <v>/</v>
      </c>
      <c r="R250" s="220" t="str">
        <f>IF(T$245="Error","Error",IF(AND($P$245&lt;&gt;"/",$P$245&gt;Paramètres!$AX5),Paramètres!$AX6,"/"))</f>
        <v>/</v>
      </c>
      <c r="S250" s="195" t="str">
        <f>IF(R250&lt;&gt;"/",VLOOKUP(R250,COSTS_PEKKA[#All],2),"/")</f>
        <v>/</v>
      </c>
      <c r="T250" s="194" t="str">
        <f>IF(R250&lt;&gt;"/",VLOOKUP(R250,COSTS_PEKKA[#All],3),"/")</f>
        <v>/</v>
      </c>
      <c r="U250" s="195">
        <f>IF(T$245="Error","Error",IF(S250&lt;&gt;"/",Q250*S250,0))</f>
        <v>0</v>
      </c>
      <c r="V250" s="221">
        <f>IF(T$245="Error","Error",IF(T250&lt;&gt;"/",Q250*T250,0))</f>
        <v>0</v>
      </c>
    </row>
    <row r="251" spans="1:22" ht="15" customHeight="1" thickBot="1" x14ac:dyDescent="0.3">
      <c r="A251" s="263">
        <v>1</v>
      </c>
      <c r="B251" s="264" t="str">
        <f>IF(Paramètres!AH5=0,"",Paramètres!AH5)</f>
        <v/>
      </c>
      <c r="C251" s="265">
        <f t="shared" ref="C251:C255" si="117">IF(C250&lt;&gt;0,C250+IF(AND(B250&lt;&gt;"",A250&lt;E$6),B250,0),IF(AND(B250&lt;&gt;"",A250&lt;E$6),B250,0))</f>
        <v>0</v>
      </c>
      <c r="D251" s="217"/>
      <c r="E251" s="218"/>
      <c r="F251" s="219">
        <f>IF(G251&lt;&gt;"/",IF(I$249="Error","Error",$J$249+C251),"/")</f>
        <v>0</v>
      </c>
      <c r="G251" s="220">
        <f>IF(I$249="Error","Error",IF(AND($E$249&lt;&gt;"/",$E$249&gt;Paramètres!$AX2),Paramètres!$AX3,"/"))</f>
        <v>1</v>
      </c>
      <c r="H251" s="195">
        <f>IF(G251&lt;&gt;"/",VLOOKUP(G251,COSTS_Wall_Breaker[#All],2),"/")</f>
        <v>0</v>
      </c>
      <c r="I251" s="194">
        <f>IF(G251&lt;&gt;"/",VLOOKUP(G251,COSTS_Wall_Breaker[#All],3),"/")</f>
        <v>0</v>
      </c>
      <c r="J251" s="195">
        <f>IF(I$249="Error","Error",IF(H251&lt;&gt;"/",F251*H251,0))</f>
        <v>0</v>
      </c>
      <c r="K251" s="221">
        <f>IF(I$249="Error","Error",IF(I251&lt;&gt;"/",F251*I251,0))</f>
        <v>0</v>
      </c>
      <c r="L251" s="420"/>
      <c r="M251" s="421"/>
      <c r="N251" s="421"/>
      <c r="O251" s="421"/>
      <c r="P251" s="421"/>
      <c r="Q251" s="421"/>
      <c r="R251" s="421"/>
      <c r="S251" s="424"/>
      <c r="T251" s="248" t="s">
        <v>15</v>
      </c>
      <c r="U251" s="249">
        <f>IF(T$245="Error","Error",SUM(U247:U250))</f>
        <v>0</v>
      </c>
      <c r="V251" s="250">
        <f>IF(T$245="Error","Error",SUM(V247:V250))</f>
        <v>0</v>
      </c>
    </row>
    <row r="252" spans="1:22" ht="15" customHeight="1" x14ac:dyDescent="0.25">
      <c r="A252" s="266">
        <v>2</v>
      </c>
      <c r="B252" s="264" t="str">
        <f>IF(Paramètres!AH6=0,"",Paramètres!AH6)</f>
        <v/>
      </c>
      <c r="C252" s="265">
        <f t="shared" si="117"/>
        <v>0</v>
      </c>
      <c r="D252" s="227"/>
      <c r="E252" s="228"/>
      <c r="F252" s="219">
        <f>IF(G252&lt;&gt;"/",IF(I$249="Error","Error",$J$249+C252),"/")</f>
        <v>0</v>
      </c>
      <c r="G252" s="220">
        <f>IF(I$249="Error","Error",IF(AND($E$249&lt;&gt;"/",$E$249&gt;Paramètres!$AX3),Paramètres!$AX4,"/"))</f>
        <v>2</v>
      </c>
      <c r="H252" s="195">
        <f>IF(G252&lt;&gt;"/",VLOOKUP(G252,COSTS_Wall_Breaker[#All],2),"/")</f>
        <v>100000</v>
      </c>
      <c r="I252" s="194">
        <f>IF(G252&lt;&gt;"/",VLOOKUP(G252,COSTS_Wall_Breaker[#All],3),"/")</f>
        <v>24</v>
      </c>
      <c r="J252" s="195">
        <f>IF(I$249="Error","Error",IF(H252&lt;&gt;"/",F252*H252,0))</f>
        <v>0</v>
      </c>
      <c r="K252" s="221">
        <f>IF(I$249="Error","Error",IF(I252&lt;&gt;"/",F252*I252,0))</f>
        <v>0</v>
      </c>
    </row>
    <row r="253" spans="1:22" ht="15" customHeight="1" x14ac:dyDescent="0.25">
      <c r="A253" s="266">
        <v>3</v>
      </c>
      <c r="B253" s="264" t="str">
        <f>IF(Paramètres!AH7=0,"",Paramètres!AH7)</f>
        <v/>
      </c>
      <c r="C253" s="265">
        <f t="shared" si="117"/>
        <v>0</v>
      </c>
      <c r="D253" s="227"/>
      <c r="E253" s="228"/>
      <c r="F253" s="219">
        <f>IF(G253&lt;&gt;"/",IF(I$249="Error","Error",$J$249+C253),"/")</f>
        <v>0</v>
      </c>
      <c r="G253" s="220">
        <f>IF(I$249="Error","Error",IF(AND($E$249&lt;&gt;"/",$E$249&gt;Paramètres!$AX4),Paramètres!$AX5,"/"))</f>
        <v>3</v>
      </c>
      <c r="H253" s="195">
        <f>IF(G253&lt;&gt;"/",VLOOKUP(G253,COSTS_Wall_Breaker[#All],2),"/")</f>
        <v>250000</v>
      </c>
      <c r="I253" s="194">
        <f>IF(G253&lt;&gt;"/",VLOOKUP(G253,COSTS_Wall_Breaker[#All],3),"/")</f>
        <v>48</v>
      </c>
      <c r="J253" s="195">
        <f>IF(I$249="Error","Error",IF(H253&lt;&gt;"/",F253*H253,0))</f>
        <v>0</v>
      </c>
      <c r="K253" s="221">
        <f>IF(I$249="Error","Error",IF(I253&lt;&gt;"/",F253*I253,0))</f>
        <v>0</v>
      </c>
    </row>
    <row r="254" spans="1:22" ht="15" customHeight="1" x14ac:dyDescent="0.25">
      <c r="A254" s="266">
        <v>4</v>
      </c>
      <c r="B254" s="264">
        <f>IF(Paramètres!AH8=0,"",Paramètres!AH8)</f>
        <v>1</v>
      </c>
      <c r="C254" s="265">
        <f t="shared" si="117"/>
        <v>0</v>
      </c>
      <c r="D254" s="227"/>
      <c r="E254" s="228"/>
      <c r="F254" s="219">
        <f>IF(G254&lt;&gt;"/",IF(I$249="Error","Error",$J$249+C254),"/")</f>
        <v>0</v>
      </c>
      <c r="G254" s="220">
        <f>IF(I$249="Error","Error",IF(AND($E$249&lt;&gt;"/",$E$249&gt;Paramètres!$AX5),Paramètres!$AX6,"/"))</f>
        <v>4</v>
      </c>
      <c r="H254" s="195">
        <f>IF(G254&lt;&gt;"/",VLOOKUP(G254,COSTS_Wall_Breaker[#All],2),"/")</f>
        <v>750000</v>
      </c>
      <c r="I254" s="194">
        <f>IF(G254&lt;&gt;"/",VLOOKUP(G254,COSTS_Wall_Breaker[#All],3),"/")</f>
        <v>72</v>
      </c>
      <c r="J254" s="195">
        <f>IF(I$249="Error","Error",IF(H254&lt;&gt;"/",F254*H254,0))</f>
        <v>0</v>
      </c>
      <c r="K254" s="221">
        <f>IF(I$249="Error","Error",IF(I254&lt;&gt;"/",F254*I254,0))</f>
        <v>0</v>
      </c>
    </row>
    <row r="255" spans="1:22" ht="15" customHeight="1" thickBot="1" x14ac:dyDescent="0.3">
      <c r="A255" s="266">
        <v>5</v>
      </c>
      <c r="B255" s="264" t="str">
        <f>IF(Paramètres!AH9=0,"",Paramètres!AH9)</f>
        <v/>
      </c>
      <c r="C255" s="265">
        <f t="shared" si="117"/>
        <v>1</v>
      </c>
      <c r="D255" s="227"/>
      <c r="E255" s="228"/>
      <c r="F255" s="219" t="str">
        <f>IF(G255&lt;&gt;"/",IF(I$249="Error","Error",$J$249+C255),"/")</f>
        <v>/</v>
      </c>
      <c r="G255" s="220" t="str">
        <f>IF(I$249="Error","Error",IF(AND($E$249&lt;&gt;"/",$E$249&gt;Paramètres!$AX6),Paramètres!$AX7,"/"))</f>
        <v>/</v>
      </c>
      <c r="H255" s="195" t="str">
        <f>IF(G255&lt;&gt;"/",VLOOKUP(G255,COSTS_Wall_Breaker[#All],2),"/")</f>
        <v>/</v>
      </c>
      <c r="I255" s="194" t="str">
        <f>IF(G255&lt;&gt;"/",VLOOKUP(G255,COSTS_Wall_Breaker[#All],3),"/")</f>
        <v>/</v>
      </c>
      <c r="J255" s="195">
        <f>IF(I$249="Error","Error",IF(H255&lt;&gt;"/",F255*H255,0))</f>
        <v>0</v>
      </c>
      <c r="K255" s="221">
        <f>IF(I$249="Error","Error",IF(I255&lt;&gt;"/",F255*I255,0))</f>
        <v>0</v>
      </c>
    </row>
    <row r="256" spans="1:22" ht="15" customHeight="1" thickBot="1" x14ac:dyDescent="0.3">
      <c r="A256" s="420"/>
      <c r="B256" s="421"/>
      <c r="C256" s="421"/>
      <c r="D256" s="421"/>
      <c r="E256" s="421"/>
      <c r="F256" s="421"/>
      <c r="G256" s="421"/>
      <c r="H256" s="424"/>
      <c r="I256" s="248" t="s">
        <v>15</v>
      </c>
      <c r="J256" s="249">
        <f>IF(I$249="Error","Error",SUM(J251:J255))</f>
        <v>0</v>
      </c>
      <c r="K256" s="250">
        <f>IF(I$249="Error","Error",SUM(K251:K255))</f>
        <v>0</v>
      </c>
    </row>
    <row r="258" spans="1:22" ht="15" customHeight="1" thickBot="1" x14ac:dyDescent="0.3"/>
    <row r="259" spans="1:22" ht="30" customHeight="1" thickBot="1" x14ac:dyDescent="0.3">
      <c r="A259" s="410" t="s">
        <v>62</v>
      </c>
      <c r="B259" s="436"/>
      <c r="C259" s="436"/>
      <c r="D259" s="436"/>
      <c r="E259" s="436"/>
      <c r="F259" s="436"/>
      <c r="G259" s="436"/>
      <c r="H259" s="436"/>
      <c r="I259" s="436"/>
      <c r="J259" s="436"/>
      <c r="K259" s="436"/>
      <c r="L259" s="436"/>
      <c r="M259" s="436"/>
      <c r="N259" s="436"/>
      <c r="O259" s="436"/>
      <c r="P259" s="436"/>
      <c r="Q259" s="436"/>
      <c r="R259" s="436"/>
      <c r="S259" s="436"/>
      <c r="T259" s="436"/>
      <c r="U259" s="436"/>
      <c r="V259" s="437"/>
    </row>
    <row r="260" spans="1:22" ht="20.100000000000001" customHeight="1" thickBot="1" x14ac:dyDescent="0.3">
      <c r="A260" s="445" t="s">
        <v>78</v>
      </c>
      <c r="B260" s="446"/>
      <c r="C260" s="446"/>
      <c r="D260" s="446"/>
      <c r="E260" s="446"/>
      <c r="F260" s="446"/>
      <c r="G260" s="446"/>
      <c r="H260" s="446"/>
      <c r="I260" s="446"/>
      <c r="J260" s="446"/>
      <c r="K260" s="446"/>
      <c r="L260" s="446"/>
      <c r="M260" s="446"/>
      <c r="N260" s="446"/>
      <c r="O260" s="446"/>
      <c r="P260" s="446"/>
      <c r="Q260" s="446"/>
      <c r="R260" s="446"/>
      <c r="S260" s="446"/>
      <c r="T260" s="446"/>
      <c r="U260" s="446"/>
      <c r="V260" s="447"/>
    </row>
    <row r="261" spans="1:22" ht="15" customHeight="1" x14ac:dyDescent="0.25">
      <c r="A261" s="414" t="s">
        <v>97</v>
      </c>
      <c r="B261" s="415"/>
      <c r="C261" s="416"/>
      <c r="D261" s="164" t="s">
        <v>16</v>
      </c>
      <c r="E261" s="165" t="s">
        <v>17</v>
      </c>
      <c r="F261" s="166"/>
      <c r="G261" s="167"/>
      <c r="H261" s="168"/>
      <c r="I261" s="164" t="s">
        <v>91</v>
      </c>
      <c r="J261" s="169" t="s">
        <v>90</v>
      </c>
      <c r="K261" s="165" t="s">
        <v>92</v>
      </c>
      <c r="L261" s="414" t="s">
        <v>24</v>
      </c>
      <c r="M261" s="415"/>
      <c r="N261" s="416"/>
      <c r="O261" s="164" t="s">
        <v>16</v>
      </c>
      <c r="P261" s="165" t="s">
        <v>17</v>
      </c>
      <c r="Q261" s="166"/>
      <c r="R261" s="167"/>
      <c r="S261" s="168"/>
      <c r="T261" s="164" t="s">
        <v>91</v>
      </c>
      <c r="U261" s="169" t="s">
        <v>90</v>
      </c>
      <c r="V261" s="165" t="s">
        <v>92</v>
      </c>
    </row>
    <row r="262" spans="1:22" ht="15" customHeight="1" thickBot="1" x14ac:dyDescent="0.3">
      <c r="A262" s="417"/>
      <c r="B262" s="418"/>
      <c r="C262" s="419"/>
      <c r="D262" s="183">
        <f>VLOOKUP($A$1,AVAILABLE_Upgrades_Dark_Troops[#All],MATCH(A261,AVAILABLE_Upgrades_Dark_Troops[#Headers],0))</f>
        <v>1</v>
      </c>
      <c r="E262" s="184">
        <f>VLOOKUP($A$1,AVAILABLE_Upgrades_Dark_Troops[#All],MATCH(A261,AVAILABLE_Upgrades_Dark_Troops[#Headers],0)+1)</f>
        <v>2</v>
      </c>
      <c r="F262" s="185"/>
      <c r="G262" s="186"/>
      <c r="H262" s="187"/>
      <c r="I262" s="183">
        <f>IF(SUM(B264:B268)&gt;D262,"Error",SUM(B264:B268))</f>
        <v>0</v>
      </c>
      <c r="J262" s="188">
        <f>IF(I$262="Error","Error",D262-I262)</f>
        <v>1</v>
      </c>
      <c r="K262" s="189">
        <f>IF(I$262="Error","Error",SUM(F264:F268))</f>
        <v>2</v>
      </c>
      <c r="L262" s="417"/>
      <c r="M262" s="418"/>
      <c r="N262" s="419"/>
      <c r="O262" s="183">
        <f>VLOOKUP($A$1,AVAILABLE_Upgrades_Dark_Troops[#All],MATCH(L261,AVAILABLE_Upgrades_Dark_Troops[#Headers],0))</f>
        <v>0</v>
      </c>
      <c r="P262" s="184">
        <f>VLOOKUP($A$1,AVAILABLE_Upgrades_Dark_Troops[#All],MATCH(L261,AVAILABLE_Upgrades_Dark_Troops[#Headers],0)+1)</f>
        <v>0</v>
      </c>
      <c r="Q262" s="185"/>
      <c r="R262" s="186"/>
      <c r="S262" s="187"/>
      <c r="T262" s="183">
        <f>IF(SUM(M264:M267)&gt;O262,"Error",SUM(M264:M267))</f>
        <v>0</v>
      </c>
      <c r="U262" s="188">
        <f>IF(T$262="Error","Error",O262-T262)</f>
        <v>0</v>
      </c>
      <c r="V262" s="189">
        <f>IF(T$262="Error","Error",SUM(Q264:Q267))</f>
        <v>0</v>
      </c>
    </row>
    <row r="263" spans="1:22" ht="15" customHeight="1" thickBot="1" x14ac:dyDescent="0.3">
      <c r="A263" s="200" t="s">
        <v>14</v>
      </c>
      <c r="B263" s="262" t="s">
        <v>13</v>
      </c>
      <c r="C263" s="202"/>
      <c r="D263" s="202"/>
      <c r="E263" s="203"/>
      <c r="F263" s="204" t="s">
        <v>13</v>
      </c>
      <c r="G263" s="205" t="s">
        <v>14</v>
      </c>
      <c r="H263" s="206" t="s">
        <v>133</v>
      </c>
      <c r="I263" s="206" t="s">
        <v>134</v>
      </c>
      <c r="J263" s="206" t="s">
        <v>74</v>
      </c>
      <c r="K263" s="207" t="s">
        <v>75</v>
      </c>
      <c r="L263" s="200" t="s">
        <v>14</v>
      </c>
      <c r="M263" s="262" t="s">
        <v>13</v>
      </c>
      <c r="N263" s="202"/>
      <c r="O263" s="202"/>
      <c r="P263" s="203"/>
      <c r="Q263" s="204" t="s">
        <v>13</v>
      </c>
      <c r="R263" s="205" t="s">
        <v>14</v>
      </c>
      <c r="S263" s="206" t="s">
        <v>133</v>
      </c>
      <c r="T263" s="206" t="s">
        <v>134</v>
      </c>
      <c r="U263" s="206" t="s">
        <v>74</v>
      </c>
      <c r="V263" s="207" t="s">
        <v>75</v>
      </c>
    </row>
    <row r="264" spans="1:22" ht="15" customHeight="1" x14ac:dyDescent="0.25">
      <c r="A264" s="263">
        <v>1</v>
      </c>
      <c r="B264" s="264" t="str">
        <f>IF(Paramètres!AN5=0,"",Paramètres!AN5)</f>
        <v/>
      </c>
      <c r="C264" s="265">
        <f t="shared" ref="C264:C268" si="118">IF(C263&lt;&gt;0,C263+IF(AND(B263&lt;&gt;"",A263&lt;E$6),B263,0),IF(AND(B263&lt;&gt;"",A263&lt;E$6),B263,0))</f>
        <v>0</v>
      </c>
      <c r="D264" s="217"/>
      <c r="E264" s="218"/>
      <c r="F264" s="219">
        <f>IF(G264&lt;&gt;"/",IF(I$262="Error","Error",$J$262+C264),"/")</f>
        <v>1</v>
      </c>
      <c r="G264" s="220">
        <f>IF(I$262="Error","Error",IF(AND($E$262&lt;&gt;"/",$E$262&gt;Paramètres!$AX2),Paramètres!$AX3,"/"))</f>
        <v>1</v>
      </c>
      <c r="H264" s="255">
        <f>IF(G264&lt;&gt;"/",VLOOKUP(G264,COSTS_Minion[#All],2),"/")</f>
        <v>0</v>
      </c>
      <c r="I264" s="194">
        <f>IF(G264&lt;&gt;"/",VLOOKUP(G264,COSTS_Minion[#All],3),"/")</f>
        <v>0</v>
      </c>
      <c r="J264" s="255">
        <f>IF(I$262="Error","Error",IF(H264&lt;&gt;"/",F264*H264,0))</f>
        <v>0</v>
      </c>
      <c r="K264" s="221">
        <f>IF(I$262="Error","Error",IF(I264&lt;&gt;"/",F264*I264,0))</f>
        <v>0</v>
      </c>
      <c r="L264" s="263">
        <v>1</v>
      </c>
      <c r="M264" s="264" t="str">
        <f>IF(Paramètres!AP5=0,"",Paramètres!AP5)</f>
        <v/>
      </c>
      <c r="N264" s="265">
        <f t="shared" ref="N264:N267" si="119">IF(N263&lt;&gt;0,N263+IF(AND(M263&lt;&gt;"",L263&lt;P$6),M263,0),IF(AND(M263&lt;&gt;"",L263&lt;P$6),M263,0))</f>
        <v>0</v>
      </c>
      <c r="O264" s="217"/>
      <c r="P264" s="218"/>
      <c r="Q264" s="219" t="str">
        <f>IF(R264&lt;&gt;"/",IF(T$262="Error","Error",$U$262+N264),"/")</f>
        <v>/</v>
      </c>
      <c r="R264" s="220" t="str">
        <f>IF(T$262="Error","Error",IF(AND($P$262&lt;&gt;"/",$P$262&gt;Paramètres!$AX2),Paramètres!$AX3,"/"))</f>
        <v>/</v>
      </c>
      <c r="S264" s="255" t="str">
        <f>IF(R264&lt;&gt;"/",VLOOKUP(R264,COSTS_Valkyrie[#All],2),"/")</f>
        <v>/</v>
      </c>
      <c r="T264" s="194" t="str">
        <f>IF(R264&lt;&gt;"/",VLOOKUP(R264,COSTS_Valkyrie[#All],3),"/")</f>
        <v>/</v>
      </c>
      <c r="U264" s="255">
        <f>IF(T$262="Error","Error",IF(S264&lt;&gt;"/",Q264*S264,0))</f>
        <v>0</v>
      </c>
      <c r="V264" s="221">
        <f>IF(T$262="Error","Error",IF(T264&lt;&gt;"/",Q264*T264,0))</f>
        <v>0</v>
      </c>
    </row>
    <row r="265" spans="1:22" ht="15" customHeight="1" x14ac:dyDescent="0.25">
      <c r="A265" s="266">
        <v>2</v>
      </c>
      <c r="B265" s="264" t="str">
        <f>IF(Paramètres!AN6=0,"",Paramètres!AN6)</f>
        <v/>
      </c>
      <c r="C265" s="265">
        <f t="shared" si="118"/>
        <v>0</v>
      </c>
      <c r="D265" s="227"/>
      <c r="E265" s="228"/>
      <c r="F265" s="219">
        <f>IF(G265&lt;&gt;"/",IF(I$262="Error","Error",$J$262+C265),"/")</f>
        <v>1</v>
      </c>
      <c r="G265" s="220">
        <f>IF(I$262="Error","Error",IF(AND($E$262&lt;&gt;"/",$E$262&gt;Paramètres!$AX3),Paramètres!$AX4,"/"))</f>
        <v>2</v>
      </c>
      <c r="H265" s="255">
        <f>IF(G265&lt;&gt;"/",VLOOKUP(G265,COSTS_Minion[#All],2),"/")</f>
        <v>10000</v>
      </c>
      <c r="I265" s="194">
        <f>IF(G265&lt;&gt;"/",VLOOKUP(G265,COSTS_Minion[#All],3),"/")</f>
        <v>120</v>
      </c>
      <c r="J265" s="255">
        <f>IF(I$262="Error","Error",IF(H265&lt;&gt;"/",F265*H265,0))</f>
        <v>10000</v>
      </c>
      <c r="K265" s="221">
        <f>IF(I$262="Error","Error",IF(I265&lt;&gt;"/",F265*I265,0))</f>
        <v>120</v>
      </c>
      <c r="L265" s="266">
        <v>2</v>
      </c>
      <c r="M265" s="264" t="str">
        <f>IF(Paramètres!AP6=0,"",Paramètres!AP6)</f>
        <v/>
      </c>
      <c r="N265" s="265">
        <f t="shared" si="119"/>
        <v>0</v>
      </c>
      <c r="O265" s="227"/>
      <c r="P265" s="228"/>
      <c r="Q265" s="219" t="str">
        <f t="shared" ref="Q265:Q267" si="120">IF(R265&lt;&gt;"/",IF(T$262="Error","Error",$U$262+N265),"/")</f>
        <v>/</v>
      </c>
      <c r="R265" s="220" t="str">
        <f>IF(T$262="Error","Error",IF(AND($P$262&lt;&gt;"/",$P$262&gt;Paramètres!$AX3),Paramètres!$AX4,"/"))</f>
        <v>/</v>
      </c>
      <c r="S265" s="255" t="str">
        <f>IF(R265&lt;&gt;"/",VLOOKUP(R265,COSTS_Valkyrie[#All],2),"/")</f>
        <v>/</v>
      </c>
      <c r="T265" s="194" t="str">
        <f>IF(R265&lt;&gt;"/",VLOOKUP(R265,COSTS_Valkyrie[#All],3),"/")</f>
        <v>/</v>
      </c>
      <c r="U265" s="255">
        <f t="shared" ref="U265:U267" si="121">IF(T$262="Error","Error",IF(S265&lt;&gt;"/",Q265*S265,0))</f>
        <v>0</v>
      </c>
      <c r="V265" s="221">
        <f t="shared" ref="V265:V267" si="122">IF(T$262="Error","Error",IF(T265&lt;&gt;"/",Q265*T265,0))</f>
        <v>0</v>
      </c>
    </row>
    <row r="266" spans="1:22" ht="15" customHeight="1" x14ac:dyDescent="0.25">
      <c r="A266" s="266">
        <v>3</v>
      </c>
      <c r="B266" s="264" t="str">
        <f>IF(Paramètres!AN7=0,"",Paramètres!AN7)</f>
        <v/>
      </c>
      <c r="C266" s="265">
        <f t="shared" si="118"/>
        <v>0</v>
      </c>
      <c r="D266" s="227"/>
      <c r="E266" s="228"/>
      <c r="F266" s="219" t="str">
        <f>IF(G266&lt;&gt;"/",IF(I$262="Error","Error",$J$262+C266),"/")</f>
        <v>/</v>
      </c>
      <c r="G266" s="220" t="str">
        <f>IF(I$262="Error","Error",IF(AND($E$262&lt;&gt;"/",$E$262&gt;Paramètres!$AX4),Paramètres!$AX5,"/"))</f>
        <v>/</v>
      </c>
      <c r="H266" s="255" t="str">
        <f>IF(G266&lt;&gt;"/",VLOOKUP(G266,COSTS_Minion[#All],2),"/")</f>
        <v>/</v>
      </c>
      <c r="I266" s="194" t="str">
        <f>IF(G266&lt;&gt;"/",VLOOKUP(G266,COSTS_Minion[#All],3),"/")</f>
        <v>/</v>
      </c>
      <c r="J266" s="255">
        <f>IF(I$262="Error","Error",IF(H266&lt;&gt;"/",F266*H266,0))</f>
        <v>0</v>
      </c>
      <c r="K266" s="221">
        <f>IF(I$262="Error","Error",IF(I266&lt;&gt;"/",F266*I266,0))</f>
        <v>0</v>
      </c>
      <c r="L266" s="266">
        <v>3</v>
      </c>
      <c r="M266" s="264" t="str">
        <f>IF(Paramètres!AP7=0,"",Paramètres!AP7)</f>
        <v/>
      </c>
      <c r="N266" s="265">
        <f t="shared" si="119"/>
        <v>0</v>
      </c>
      <c r="O266" s="227"/>
      <c r="P266" s="228"/>
      <c r="Q266" s="219" t="str">
        <f t="shared" si="120"/>
        <v>/</v>
      </c>
      <c r="R266" s="220" t="str">
        <f>IF(T$262="Error","Error",IF(AND($P$262&lt;&gt;"/",$P$262&gt;Paramètres!$AX4),Paramètres!$AX5,"/"))</f>
        <v>/</v>
      </c>
      <c r="S266" s="255" t="str">
        <f>IF(R266&lt;&gt;"/",VLOOKUP(R266,COSTS_Valkyrie[#All],2),"/")</f>
        <v>/</v>
      </c>
      <c r="T266" s="194" t="str">
        <f>IF(R266&lt;&gt;"/",VLOOKUP(R266,COSTS_Valkyrie[#All],3),"/")</f>
        <v>/</v>
      </c>
      <c r="U266" s="255">
        <f t="shared" si="121"/>
        <v>0</v>
      </c>
      <c r="V266" s="221">
        <f t="shared" si="122"/>
        <v>0</v>
      </c>
    </row>
    <row r="267" spans="1:22" ht="15" customHeight="1" thickBot="1" x14ac:dyDescent="0.3">
      <c r="A267" s="266">
        <v>4</v>
      </c>
      <c r="B267" s="264" t="str">
        <f>IF(Paramètres!AN8=0,"",Paramètres!AN8)</f>
        <v/>
      </c>
      <c r="C267" s="265">
        <f t="shared" si="118"/>
        <v>0</v>
      </c>
      <c r="D267" s="227"/>
      <c r="E267" s="228"/>
      <c r="F267" s="219" t="str">
        <f>IF(G267&lt;&gt;"/",IF(I$262="Error","Error",$J$262+C267),"/")</f>
        <v>/</v>
      </c>
      <c r="G267" s="220" t="str">
        <f>IF(I$262="Error","Error",IF(AND($E$262&lt;&gt;"/",$E$262&gt;Paramètres!$AX5),Paramètres!$AX6,"/"))</f>
        <v>/</v>
      </c>
      <c r="H267" s="255" t="str">
        <f>IF(G267&lt;&gt;"/",VLOOKUP(G267,COSTS_Minion[#All],2),"/")</f>
        <v>/</v>
      </c>
      <c r="I267" s="194" t="str">
        <f>IF(G267&lt;&gt;"/",VLOOKUP(G267,COSTS_Minion[#All],3),"/")</f>
        <v>/</v>
      </c>
      <c r="J267" s="255">
        <f>IF(I$262="Error","Error",IF(H267&lt;&gt;"/",F267*H267,0))</f>
        <v>0</v>
      </c>
      <c r="K267" s="221">
        <f>IF(I$262="Error","Error",IF(I267&lt;&gt;"/",F267*I267,0))</f>
        <v>0</v>
      </c>
      <c r="L267" s="266">
        <v>4</v>
      </c>
      <c r="M267" s="264" t="str">
        <f>IF(Paramètres!AP8=0,"",Paramètres!AP8)</f>
        <v/>
      </c>
      <c r="N267" s="265">
        <f t="shared" si="119"/>
        <v>0</v>
      </c>
      <c r="O267" s="227"/>
      <c r="P267" s="228"/>
      <c r="Q267" s="219" t="str">
        <f t="shared" si="120"/>
        <v>/</v>
      </c>
      <c r="R267" s="220" t="str">
        <f>IF(T$262="Error","Error",IF(AND($P$262&lt;&gt;"/",$P$262&gt;Paramètres!$AX5),Paramètres!$AX6,"/"))</f>
        <v>/</v>
      </c>
      <c r="S267" s="255" t="str">
        <f>IF(R267&lt;&gt;"/",VLOOKUP(R267,COSTS_Valkyrie[#All],2),"/")</f>
        <v>/</v>
      </c>
      <c r="T267" s="194" t="str">
        <f>IF(R267&lt;&gt;"/",VLOOKUP(R267,COSTS_Valkyrie[#All],3),"/")</f>
        <v>/</v>
      </c>
      <c r="U267" s="255">
        <f t="shared" si="121"/>
        <v>0</v>
      </c>
      <c r="V267" s="221">
        <f t="shared" si="122"/>
        <v>0</v>
      </c>
    </row>
    <row r="268" spans="1:22" ht="15" customHeight="1" thickBot="1" x14ac:dyDescent="0.3">
      <c r="A268" s="266">
        <v>5</v>
      </c>
      <c r="B268" s="264" t="str">
        <f>IF(Paramètres!AN9=0,"",Paramètres!AN9)</f>
        <v/>
      </c>
      <c r="C268" s="265">
        <f t="shared" si="118"/>
        <v>0</v>
      </c>
      <c r="D268" s="227"/>
      <c r="E268" s="228"/>
      <c r="F268" s="219" t="str">
        <f>IF(G268&lt;&gt;"/",IF(I$262="Error","Error",$J$262+C268),"/")</f>
        <v>/</v>
      </c>
      <c r="G268" s="220" t="str">
        <f>IF(I$262="Error","Error",IF(AND($E$262&lt;&gt;"/",$E$262&gt;Paramètres!$AX6),Paramètres!$AX7,"/"))</f>
        <v>/</v>
      </c>
      <c r="H268" s="255" t="str">
        <f>IF(G268&lt;&gt;"/",VLOOKUP(G268,COSTS_Minion[#All],2),"/")</f>
        <v>/</v>
      </c>
      <c r="I268" s="194" t="str">
        <f>IF(G268&lt;&gt;"/",VLOOKUP(G268,COSTS_Minion[#All],3),"/")</f>
        <v>/</v>
      </c>
      <c r="J268" s="255">
        <f>IF(I$262="Error","Error",IF(H268&lt;&gt;"/",F268*H268,0))</f>
        <v>0</v>
      </c>
      <c r="K268" s="221">
        <f>IF(I$262="Error","Error",IF(I268&lt;&gt;"/",F268*I268,0))</f>
        <v>0</v>
      </c>
      <c r="L268" s="420"/>
      <c r="M268" s="421"/>
      <c r="N268" s="421"/>
      <c r="O268" s="421"/>
      <c r="P268" s="421"/>
      <c r="Q268" s="421"/>
      <c r="R268" s="421"/>
      <c r="S268" s="424"/>
      <c r="T268" s="248" t="s">
        <v>15</v>
      </c>
      <c r="U268" s="274">
        <f>IF(T$262="Error","Error",SUM(U264:U267))</f>
        <v>0</v>
      </c>
      <c r="V268" s="250">
        <f>IF(T$262="Error","Error",SUM(V264:V267))</f>
        <v>0</v>
      </c>
    </row>
    <row r="269" spans="1:22" ht="15" customHeight="1" thickBot="1" x14ac:dyDescent="0.3">
      <c r="A269" s="420"/>
      <c r="B269" s="421"/>
      <c r="C269" s="421"/>
      <c r="D269" s="421"/>
      <c r="E269" s="421"/>
      <c r="F269" s="421"/>
      <c r="G269" s="421"/>
      <c r="H269" s="424"/>
      <c r="I269" s="248" t="s">
        <v>15</v>
      </c>
      <c r="J269" s="274">
        <f>IF(I$262="Error","Error",SUM(J264:J268))</f>
        <v>10000</v>
      </c>
      <c r="K269" s="250">
        <f>IF(I$262="Error","Error",SUM(K264:K268))</f>
        <v>120</v>
      </c>
      <c r="L269" s="414" t="s">
        <v>25</v>
      </c>
      <c r="M269" s="415"/>
      <c r="N269" s="416"/>
      <c r="O269" s="164" t="s">
        <v>16</v>
      </c>
      <c r="P269" s="165" t="s">
        <v>17</v>
      </c>
      <c r="Q269" s="166"/>
      <c r="R269" s="167"/>
      <c r="S269" s="168"/>
      <c r="T269" s="164" t="s">
        <v>91</v>
      </c>
      <c r="U269" s="169" t="s">
        <v>90</v>
      </c>
      <c r="V269" s="165" t="s">
        <v>92</v>
      </c>
    </row>
    <row r="270" spans="1:22" ht="15" customHeight="1" thickBot="1" x14ac:dyDescent="0.3">
      <c r="A270" s="414" t="s">
        <v>98</v>
      </c>
      <c r="B270" s="415"/>
      <c r="C270" s="416"/>
      <c r="D270" s="164" t="s">
        <v>16</v>
      </c>
      <c r="E270" s="165" t="s">
        <v>17</v>
      </c>
      <c r="F270" s="166"/>
      <c r="G270" s="167"/>
      <c r="H270" s="168"/>
      <c r="I270" s="164" t="s">
        <v>91</v>
      </c>
      <c r="J270" s="169" t="s">
        <v>90</v>
      </c>
      <c r="K270" s="165" t="s">
        <v>92</v>
      </c>
      <c r="L270" s="417"/>
      <c r="M270" s="418"/>
      <c r="N270" s="419"/>
      <c r="O270" s="183">
        <f>VLOOKUP($A$1,AVAILABLE_Upgrades_Dark_Troops[#All],MATCH(L269,AVAILABLE_Upgrades_Dark_Troops[#Headers],0))</f>
        <v>0</v>
      </c>
      <c r="P270" s="184">
        <f>VLOOKUP($A$1,AVAILABLE_Upgrades_Dark_Troops[#All],MATCH(L269,AVAILABLE_Upgrades_Dark_Troops[#Headers],0)+1)</f>
        <v>0</v>
      </c>
      <c r="Q270" s="185"/>
      <c r="R270" s="186"/>
      <c r="S270" s="187"/>
      <c r="T270" s="183">
        <f>IF(SUM(M272:M276)&gt;O270,"Error",SUM(M272:M276))</f>
        <v>0</v>
      </c>
      <c r="U270" s="188">
        <f>IF(T$270="Error","Error",O270-T270)</f>
        <v>0</v>
      </c>
      <c r="V270" s="189">
        <f>IF(T$270="Error","Error",SUM(Q272:Q276))</f>
        <v>0</v>
      </c>
    </row>
    <row r="271" spans="1:22" ht="15" customHeight="1" thickBot="1" x14ac:dyDescent="0.3">
      <c r="A271" s="417"/>
      <c r="B271" s="418"/>
      <c r="C271" s="419"/>
      <c r="D271" s="183">
        <f>VLOOKUP($A$1,AVAILABLE_Upgrades_Dark_Troops[#All],MATCH(A270,AVAILABLE_Upgrades_Dark_Troops[#Headers],0))</f>
        <v>1</v>
      </c>
      <c r="E271" s="184">
        <f>VLOOKUP($A$1,AVAILABLE_Upgrades_Dark_Troops[#All],MATCH(A270,AVAILABLE_Upgrades_Dark_Troops[#Headers],0)+1)</f>
        <v>2</v>
      </c>
      <c r="F271" s="185"/>
      <c r="G271" s="186"/>
      <c r="H271" s="187"/>
      <c r="I271" s="183">
        <f>IF(SUM(B273:B277)&gt;D271,"Error",SUM(B273:B277))</f>
        <v>0</v>
      </c>
      <c r="J271" s="188">
        <f>IF(I$271="Error","Error",D271-I271)</f>
        <v>1</v>
      </c>
      <c r="K271" s="189">
        <f>IF(I$271="Error","Error",SUM(F273:F277))</f>
        <v>2</v>
      </c>
      <c r="L271" s="200" t="s">
        <v>14</v>
      </c>
      <c r="M271" s="262" t="s">
        <v>13</v>
      </c>
      <c r="N271" s="202"/>
      <c r="O271" s="202"/>
      <c r="P271" s="203"/>
      <c r="Q271" s="204" t="s">
        <v>13</v>
      </c>
      <c r="R271" s="205" t="s">
        <v>14</v>
      </c>
      <c r="S271" s="206" t="s">
        <v>133</v>
      </c>
      <c r="T271" s="206" t="s">
        <v>134</v>
      </c>
      <c r="U271" s="206" t="s">
        <v>74</v>
      </c>
      <c r="V271" s="207" t="s">
        <v>75</v>
      </c>
    </row>
    <row r="272" spans="1:22" ht="15" customHeight="1" thickBot="1" x14ac:dyDescent="0.3">
      <c r="A272" s="200" t="s">
        <v>14</v>
      </c>
      <c r="B272" s="262" t="s">
        <v>13</v>
      </c>
      <c r="C272" s="202"/>
      <c r="D272" s="202"/>
      <c r="E272" s="203"/>
      <c r="F272" s="204" t="s">
        <v>13</v>
      </c>
      <c r="G272" s="205" t="s">
        <v>14</v>
      </c>
      <c r="H272" s="206" t="s">
        <v>133</v>
      </c>
      <c r="I272" s="206" t="s">
        <v>134</v>
      </c>
      <c r="J272" s="206" t="s">
        <v>74</v>
      </c>
      <c r="K272" s="207" t="s">
        <v>75</v>
      </c>
      <c r="L272" s="263">
        <v>1</v>
      </c>
      <c r="M272" s="264" t="str">
        <f>IF(Paramètres!AQ5=0,"",Paramètres!AQ5)</f>
        <v/>
      </c>
      <c r="N272" s="265">
        <f t="shared" ref="N272:N274" si="123">IF(N271&lt;&gt;0,N271+IF(AND(M271&lt;&gt;"",L271&lt;P$6),M271,0),IF(AND(M271&lt;&gt;"",L271&lt;P$6),M271,0))</f>
        <v>0</v>
      </c>
      <c r="O272" s="217"/>
      <c r="P272" s="218"/>
      <c r="Q272" s="219" t="str">
        <f>IF(R272&lt;&gt;"/",IF(T$270="Error","Error",$U$270+N272),"/")</f>
        <v>/</v>
      </c>
      <c r="R272" s="220" t="str">
        <f>IF(T$270="Error","Error",IF(AND($P$270&lt;&gt;"/",$P$270&gt;Paramètres!$AX2),Paramètres!$AX3,"/"))</f>
        <v>/</v>
      </c>
      <c r="S272" s="255" t="str">
        <f>IF(R272&lt;&gt;"/",VLOOKUP(R272,COSTS_Golem[#All],2),"/")</f>
        <v>/</v>
      </c>
      <c r="T272" s="194" t="str">
        <f>IF(R272&lt;&gt;"/",VLOOKUP(R272,COSTS_Golem[#All],3),"/")</f>
        <v>/</v>
      </c>
      <c r="U272" s="255">
        <f>IF(T$270="Error","Error",IF(S272&lt;&gt;"/",Q272*S272,0))</f>
        <v>0</v>
      </c>
      <c r="V272" s="221">
        <f>IF(T$270="Error","Error",IF(T272&lt;&gt;"/",Q272*T272,0))</f>
        <v>0</v>
      </c>
    </row>
    <row r="273" spans="1:22" ht="15" customHeight="1" x14ac:dyDescent="0.25">
      <c r="A273" s="263">
        <v>1</v>
      </c>
      <c r="B273" s="264" t="str">
        <f>IF(Paramètres!AO5=0,"",Paramètres!AO5)</f>
        <v/>
      </c>
      <c r="C273" s="265">
        <f t="shared" ref="C273:C277" si="124">IF(C272&lt;&gt;0,C272+IF(AND(B272&lt;&gt;"",A272&lt;E$6),B272,0),IF(AND(B272&lt;&gt;"",A272&lt;E$6),B272,0))</f>
        <v>0</v>
      </c>
      <c r="D273" s="217"/>
      <c r="E273" s="218"/>
      <c r="F273" s="219">
        <f>IF(G273&lt;&gt;"/",IF(I$271="Error","Error",$J$271+C273),"/")</f>
        <v>1</v>
      </c>
      <c r="G273" s="220">
        <f>IF(I$271="Error","Error",IF(AND($E$271&lt;&gt;"/",$E$271&gt;Paramètres!$AX2),Paramètres!$AX3,"/"))</f>
        <v>1</v>
      </c>
      <c r="H273" s="255">
        <f>IF(G273&lt;&gt;"/",VLOOKUP(G273,COSTS_Hog_Rider[#All],2),"/")</f>
        <v>0</v>
      </c>
      <c r="I273" s="194">
        <f>IF(G273&lt;&gt;"/",VLOOKUP(G273,COSTS_Hog_Rider[#All],3),"/")</f>
        <v>0</v>
      </c>
      <c r="J273" s="255">
        <f>IF(I$271="Error","Error",IF(H273&lt;&gt;"/",F273*H273,0))</f>
        <v>0</v>
      </c>
      <c r="K273" s="221">
        <f>IF(I$271="Error","Error",IF(I273&lt;&gt;"/",F273*I273,0))</f>
        <v>0</v>
      </c>
      <c r="L273" s="266">
        <v>2</v>
      </c>
      <c r="M273" s="264" t="str">
        <f>IF(Paramètres!AQ6=0,"",Paramètres!AQ6)</f>
        <v/>
      </c>
      <c r="N273" s="265">
        <f t="shared" si="123"/>
        <v>0</v>
      </c>
      <c r="O273" s="227"/>
      <c r="P273" s="228"/>
      <c r="Q273" s="219" t="str">
        <f t="shared" ref="Q273:Q276" si="125">IF(R273&lt;&gt;"/",IF(T$270="Error","Error",$U$270+N273),"/")</f>
        <v>/</v>
      </c>
      <c r="R273" s="220" t="str">
        <f>IF(T$270="Error","Error",IF(AND($P$270&lt;&gt;"/",$P$270&gt;Paramètres!$AX3),Paramètres!$AX4,"/"))</f>
        <v>/</v>
      </c>
      <c r="S273" s="255" t="str">
        <f>IF(R273&lt;&gt;"/",VLOOKUP(R273,COSTS_Golem[#All],2),"/")</f>
        <v>/</v>
      </c>
      <c r="T273" s="194" t="str">
        <f>IF(R273&lt;&gt;"/",VLOOKUP(R273,COSTS_Golem[#All],3),"/")</f>
        <v>/</v>
      </c>
      <c r="U273" s="255">
        <f t="shared" ref="U273:U276" si="126">IF(T$270="Error","Error",IF(S273&lt;&gt;"/",Q273*S273,0))</f>
        <v>0</v>
      </c>
      <c r="V273" s="221">
        <f t="shared" ref="V273:V276" si="127">IF(T$270="Error","Error",IF(T273&lt;&gt;"/",Q273*T273,0))</f>
        <v>0</v>
      </c>
    </row>
    <row r="274" spans="1:22" ht="15" customHeight="1" x14ac:dyDescent="0.25">
      <c r="A274" s="266">
        <v>2</v>
      </c>
      <c r="B274" s="264" t="str">
        <f>IF(Paramètres!AO6=0,"",Paramètres!AO6)</f>
        <v/>
      </c>
      <c r="C274" s="265">
        <f t="shared" si="124"/>
        <v>0</v>
      </c>
      <c r="D274" s="227"/>
      <c r="E274" s="228"/>
      <c r="F274" s="219">
        <f>IF(G274&lt;&gt;"/",IF(I$271="Error","Error",$J$271+C274),"/")</f>
        <v>1</v>
      </c>
      <c r="G274" s="220">
        <f>IF(I$271="Error","Error",IF(AND($E$271&lt;&gt;"/",$E$271&gt;Paramètres!$AX3),Paramètres!$AX4,"/"))</f>
        <v>2</v>
      </c>
      <c r="H274" s="255">
        <f>IF(G274&lt;&gt;"/",VLOOKUP(G274,COSTS_Hog_Rider[#All],2),"/")</f>
        <v>20000</v>
      </c>
      <c r="I274" s="194">
        <f>IF(G274&lt;&gt;"/",VLOOKUP(G274,COSTS_Hog_Rider[#All],3),"/")</f>
        <v>192</v>
      </c>
      <c r="J274" s="255">
        <f>IF(I$271="Error","Error",IF(H274&lt;&gt;"/",F274*H274,0))</f>
        <v>20000</v>
      </c>
      <c r="K274" s="221">
        <f>IF(I$271="Error","Error",IF(I274&lt;&gt;"/",F274*I274,0))</f>
        <v>192</v>
      </c>
      <c r="L274" s="266">
        <v>3</v>
      </c>
      <c r="M274" s="264" t="str">
        <f>IF(Paramètres!AQ7=0,"",Paramètres!AQ7)</f>
        <v/>
      </c>
      <c r="N274" s="265">
        <f t="shared" si="123"/>
        <v>0</v>
      </c>
      <c r="O274" s="227"/>
      <c r="P274" s="228"/>
      <c r="Q274" s="219" t="str">
        <f t="shared" si="125"/>
        <v>/</v>
      </c>
      <c r="R274" s="220" t="str">
        <f>IF(T$270="Error","Error",IF(AND($P$270&lt;&gt;"/",$P$270&gt;Paramètres!$AX4),Paramètres!$AX5,"/"))</f>
        <v>/</v>
      </c>
      <c r="S274" s="255" t="str">
        <f>IF(R274&lt;&gt;"/",VLOOKUP(R274,COSTS_Golem[#All],2),"/")</f>
        <v>/</v>
      </c>
      <c r="T274" s="194" t="str">
        <f>IF(R274&lt;&gt;"/",VLOOKUP(R274,COSTS_Golem[#All],3),"/")</f>
        <v>/</v>
      </c>
      <c r="U274" s="255">
        <f t="shared" si="126"/>
        <v>0</v>
      </c>
      <c r="V274" s="221">
        <f t="shared" si="127"/>
        <v>0</v>
      </c>
    </row>
    <row r="275" spans="1:22" ht="15" customHeight="1" x14ac:dyDescent="0.25">
      <c r="A275" s="266">
        <v>3</v>
      </c>
      <c r="B275" s="264" t="str">
        <f>IF(Paramètres!AO7=0,"",Paramètres!AO7)</f>
        <v/>
      </c>
      <c r="C275" s="265">
        <f>IF(C274&lt;&gt;0,C274+IF(AND(B274&lt;&gt;"",A274&lt;E$6),B274,0),IF(AND(B274&lt;&gt;"",A274&lt;E$6),B274,0))</f>
        <v>0</v>
      </c>
      <c r="D275" s="227"/>
      <c r="E275" s="228"/>
      <c r="F275" s="219" t="str">
        <f>IF(G275&lt;&gt;"/",IF(I$271="Error","Error",$J$271+C275),"/")</f>
        <v>/</v>
      </c>
      <c r="G275" s="220" t="str">
        <f>IF(I$271="Error","Error",IF(AND($E$271&lt;&gt;"/",$E$271&gt;Paramètres!$AX4),Paramètres!$AX5,"/"))</f>
        <v>/</v>
      </c>
      <c r="H275" s="255" t="str">
        <f>IF(G275&lt;&gt;"/",VLOOKUP(G275,COSTS_Hog_Rider[#All],2),"/")</f>
        <v>/</v>
      </c>
      <c r="I275" s="194" t="str">
        <f>IF(G275&lt;&gt;"/",VLOOKUP(G275,COSTS_Hog_Rider[#All],3),"/")</f>
        <v>/</v>
      </c>
      <c r="J275" s="255">
        <f>IF(I$271="Error","Error",IF(H275&lt;&gt;"/",F275*H275,0))</f>
        <v>0</v>
      </c>
      <c r="K275" s="221">
        <f>IF(I$271="Error","Error",IF(I275&lt;&gt;"/",F275*I275,0))</f>
        <v>0</v>
      </c>
      <c r="L275" s="266">
        <v>4</v>
      </c>
      <c r="M275" s="264" t="str">
        <f>IF(Paramètres!AQ8=0,"",Paramètres!AQ8)</f>
        <v/>
      </c>
      <c r="N275" s="265">
        <f t="shared" ref="N275:N276" si="128">IF(N274&lt;&gt;0,N274+IF(AND(M274&lt;&gt;"",L274&lt;P$6),M274,0),IF(AND(M274&lt;&gt;"",L274&lt;P$6),M274,0))</f>
        <v>0</v>
      </c>
      <c r="O275" s="227"/>
      <c r="P275" s="228"/>
      <c r="Q275" s="219" t="str">
        <f t="shared" si="125"/>
        <v>/</v>
      </c>
      <c r="R275" s="220" t="str">
        <f>IF(T$270="Error","Error",IF(AND($P$270&lt;&gt;"/",$P$270&gt;Paramètres!$AX5),Paramètres!$AX6,"/"))</f>
        <v>/</v>
      </c>
      <c r="S275" s="255" t="str">
        <f>IF(R275&lt;&gt;"/",VLOOKUP(R275,COSTS_Golem[#All],2),"/")</f>
        <v>/</v>
      </c>
      <c r="T275" s="194" t="str">
        <f>IF(R275&lt;&gt;"/",VLOOKUP(R275,COSTS_Golem[#All],3),"/")</f>
        <v>/</v>
      </c>
      <c r="U275" s="255">
        <f t="shared" si="126"/>
        <v>0</v>
      </c>
      <c r="V275" s="221">
        <f t="shared" si="127"/>
        <v>0</v>
      </c>
    </row>
    <row r="276" spans="1:22" ht="15" customHeight="1" thickBot="1" x14ac:dyDescent="0.3">
      <c r="A276" s="266">
        <v>4</v>
      </c>
      <c r="B276" s="264" t="str">
        <f>IF(Paramètres!AO8=0,"",Paramètres!AO8)</f>
        <v/>
      </c>
      <c r="C276" s="265">
        <f t="shared" si="124"/>
        <v>0</v>
      </c>
      <c r="D276" s="227"/>
      <c r="E276" s="228"/>
      <c r="F276" s="219" t="str">
        <f>IF(G276&lt;&gt;"/",IF(I$271="Error","Error",$J$271+C276),"/")</f>
        <v>/</v>
      </c>
      <c r="G276" s="220" t="str">
        <f>IF(I$271="Error","Error",IF(AND($E$271&lt;&gt;"/",$E$271&gt;Paramètres!$AX5),Paramètres!$AX6,"/"))</f>
        <v>/</v>
      </c>
      <c r="H276" s="255" t="str">
        <f>IF(G276&lt;&gt;"/",VLOOKUP(G276,COSTS_Hog_Rider[#All],2),"/")</f>
        <v>/</v>
      </c>
      <c r="I276" s="194" t="str">
        <f>IF(G276&lt;&gt;"/",VLOOKUP(G276,COSTS_Hog_Rider[#All],3),"/")</f>
        <v>/</v>
      </c>
      <c r="J276" s="255">
        <f>IF(I$271="Error","Error",IF(H276&lt;&gt;"/",F276*H276,0))</f>
        <v>0</v>
      </c>
      <c r="K276" s="221">
        <f>IF(I$271="Error","Error",IF(I276&lt;&gt;"/",F276*I276,0))</f>
        <v>0</v>
      </c>
      <c r="L276" s="266">
        <v>5</v>
      </c>
      <c r="M276" s="264" t="str">
        <f>IF(Paramètres!AQ9=0,"",Paramètres!AQ9)</f>
        <v/>
      </c>
      <c r="N276" s="265">
        <f t="shared" si="128"/>
        <v>0</v>
      </c>
      <c r="O276" s="227"/>
      <c r="P276" s="228"/>
      <c r="Q276" s="219" t="str">
        <f t="shared" si="125"/>
        <v>/</v>
      </c>
      <c r="R276" s="220" t="str">
        <f>IF(T$270="Error","Error",IF(AND($P$270&lt;&gt;"/",$P$270&gt;Paramètres!$AX6),Paramètres!$AX7,"/"))</f>
        <v>/</v>
      </c>
      <c r="S276" s="255" t="str">
        <f>IF(R276&lt;&gt;"/",VLOOKUP(R276,COSTS_Golem[#All],2),"/")</f>
        <v>/</v>
      </c>
      <c r="T276" s="194" t="str">
        <f>IF(R276&lt;&gt;"/",VLOOKUP(R276,COSTS_Golem[#All],3),"/")</f>
        <v>/</v>
      </c>
      <c r="U276" s="255">
        <f t="shared" si="126"/>
        <v>0</v>
      </c>
      <c r="V276" s="221">
        <f t="shared" si="127"/>
        <v>0</v>
      </c>
    </row>
    <row r="277" spans="1:22" ht="15" customHeight="1" thickBot="1" x14ac:dyDescent="0.3">
      <c r="A277" s="266">
        <v>5</v>
      </c>
      <c r="B277" s="264" t="str">
        <f>IF(Paramètres!AO9=0,"",Paramètres!AO9)</f>
        <v/>
      </c>
      <c r="C277" s="265">
        <f t="shared" si="124"/>
        <v>0</v>
      </c>
      <c r="D277" s="227"/>
      <c r="E277" s="228"/>
      <c r="F277" s="219" t="str">
        <f>IF(G277&lt;&gt;"/",IF(I$271="Error","Error",$J$271+C277),"/")</f>
        <v>/</v>
      </c>
      <c r="G277" s="220" t="str">
        <f>IF(I$271="Error","Error",IF(AND($E$271&lt;&gt;"/",$E$271&gt;Paramètres!$AX6),Paramètres!$AX7,"/"))</f>
        <v>/</v>
      </c>
      <c r="H277" s="255" t="str">
        <f>IF(G277&lt;&gt;"/",VLOOKUP(G277,COSTS_Hog_Rider[#All],2),"/")</f>
        <v>/</v>
      </c>
      <c r="I277" s="194" t="str">
        <f>IF(G277&lt;&gt;"/",VLOOKUP(G277,COSTS_Hog_Rider[#All],3),"/")</f>
        <v>/</v>
      </c>
      <c r="J277" s="255">
        <f>IF(I$271="Error","Error",IF(H277&lt;&gt;"/",F277*H277,0))</f>
        <v>0</v>
      </c>
      <c r="K277" s="221">
        <f>IF(I$271="Error","Error",IF(I277&lt;&gt;"/",F277*I277,0))</f>
        <v>0</v>
      </c>
      <c r="L277" s="420"/>
      <c r="M277" s="421"/>
      <c r="N277" s="421"/>
      <c r="O277" s="421"/>
      <c r="P277" s="421"/>
      <c r="Q277" s="421"/>
      <c r="R277" s="421"/>
      <c r="S277" s="424"/>
      <c r="T277" s="248" t="s">
        <v>15</v>
      </c>
      <c r="U277" s="274">
        <f>IF(T$270="Error","Error",SUM(U272:U276))</f>
        <v>0</v>
      </c>
      <c r="V277" s="250">
        <f>IF(T$270="Error","Error",SUM(V272:V276))</f>
        <v>0</v>
      </c>
    </row>
    <row r="278" spans="1:22" ht="15" customHeight="1" thickBot="1" x14ac:dyDescent="0.3">
      <c r="A278" s="420"/>
      <c r="B278" s="421"/>
      <c r="C278" s="421"/>
      <c r="D278" s="421"/>
      <c r="E278" s="421"/>
      <c r="F278" s="421"/>
      <c r="G278" s="421"/>
      <c r="H278" s="424"/>
      <c r="I278" s="248" t="s">
        <v>15</v>
      </c>
      <c r="J278" s="274">
        <f>IF(I$271="Error","Error",SUM(J273:J277))</f>
        <v>20000</v>
      </c>
      <c r="K278" s="250">
        <f>IF(I$271="Error","Error",SUM(K273:K277))</f>
        <v>192</v>
      </c>
    </row>
    <row r="280" spans="1:22" ht="15" customHeight="1" thickBot="1" x14ac:dyDescent="0.3"/>
    <row r="281" spans="1:22" ht="30" customHeight="1" thickBot="1" x14ac:dyDescent="0.3">
      <c r="A281" s="410" t="s">
        <v>63</v>
      </c>
      <c r="B281" s="436"/>
      <c r="C281" s="436"/>
      <c r="D281" s="436"/>
      <c r="E281" s="436"/>
      <c r="F281" s="436"/>
      <c r="G281" s="436"/>
      <c r="H281" s="436"/>
      <c r="I281" s="436"/>
      <c r="J281" s="436"/>
      <c r="K281" s="436"/>
      <c r="L281" s="436"/>
      <c r="M281" s="436"/>
      <c r="N281" s="436"/>
      <c r="O281" s="436"/>
      <c r="P281" s="436"/>
      <c r="Q281" s="436"/>
      <c r="R281" s="436"/>
      <c r="S281" s="436"/>
      <c r="T281" s="436"/>
      <c r="U281" s="436"/>
      <c r="V281" s="437"/>
    </row>
    <row r="282" spans="1:22" ht="20.100000000000001" customHeight="1" thickBot="1" x14ac:dyDescent="0.3">
      <c r="A282" s="445" t="s">
        <v>78</v>
      </c>
      <c r="B282" s="446"/>
      <c r="C282" s="446"/>
      <c r="D282" s="446"/>
      <c r="E282" s="446"/>
      <c r="F282" s="446"/>
      <c r="G282" s="446"/>
      <c r="H282" s="446"/>
      <c r="I282" s="446"/>
      <c r="J282" s="446"/>
      <c r="K282" s="446"/>
      <c r="L282" s="446"/>
      <c r="M282" s="446"/>
      <c r="N282" s="446"/>
      <c r="O282" s="446"/>
      <c r="P282" s="446"/>
      <c r="Q282" s="446"/>
      <c r="R282" s="446"/>
      <c r="S282" s="446"/>
      <c r="T282" s="446"/>
      <c r="U282" s="446"/>
      <c r="V282" s="447"/>
    </row>
    <row r="283" spans="1:22" ht="15" customHeight="1" x14ac:dyDescent="0.25">
      <c r="A283" s="414" t="s">
        <v>137</v>
      </c>
      <c r="B283" s="415"/>
      <c r="C283" s="416"/>
      <c r="D283" s="164" t="s">
        <v>16</v>
      </c>
      <c r="E283" s="165" t="s">
        <v>17</v>
      </c>
      <c r="F283" s="166"/>
      <c r="G283" s="167"/>
      <c r="H283" s="168"/>
      <c r="I283" s="164" t="s">
        <v>91</v>
      </c>
      <c r="J283" s="169" t="s">
        <v>90</v>
      </c>
      <c r="K283" s="165" t="s">
        <v>92</v>
      </c>
      <c r="L283" s="414" t="s">
        <v>99</v>
      </c>
      <c r="M283" s="415"/>
      <c r="N283" s="416"/>
      <c r="O283" s="164" t="s">
        <v>16</v>
      </c>
      <c r="P283" s="165" t="s">
        <v>17</v>
      </c>
      <c r="Q283" s="166"/>
      <c r="R283" s="167"/>
      <c r="S283" s="168"/>
      <c r="T283" s="164" t="s">
        <v>91</v>
      </c>
      <c r="U283" s="169" t="s">
        <v>90</v>
      </c>
      <c r="V283" s="165" t="s">
        <v>92</v>
      </c>
    </row>
    <row r="284" spans="1:22" ht="15" customHeight="1" thickBot="1" x14ac:dyDescent="0.3">
      <c r="A284" s="417"/>
      <c r="B284" s="418"/>
      <c r="C284" s="419"/>
      <c r="D284" s="183">
        <f>VLOOKUP($A$1,AVAILABLE_Heroes[#All],MATCH(A283,AVAILABLE_Heroes[#Headers],0))</f>
        <v>1</v>
      </c>
      <c r="E284" s="184">
        <f>VLOOKUP($A$1,AVAILABLE_Heroes[#All],MATCH(A283,AVAILABLE_Heroes[#Headers],0)+1)</f>
        <v>5</v>
      </c>
      <c r="F284" s="185"/>
      <c r="G284" s="186"/>
      <c r="H284" s="187"/>
      <c r="I284" s="183">
        <f>IF(SUM(B286:B325)&gt;D284,"Error",SUM(B286:B325))</f>
        <v>0</v>
      </c>
      <c r="J284" s="188">
        <f>IF(I$284="Error","Error",D284-I284)</f>
        <v>1</v>
      </c>
      <c r="K284" s="189">
        <f>IF(I$284="Error","Error",SUM(F286:F325))</f>
        <v>5</v>
      </c>
      <c r="L284" s="417"/>
      <c r="M284" s="418"/>
      <c r="N284" s="419"/>
      <c r="O284" s="183">
        <f>VLOOKUP($A$1,AVAILABLE_Heroes[#All],MATCH(L283,AVAILABLE_Heroes[#Headers],0))</f>
        <v>0</v>
      </c>
      <c r="P284" s="184">
        <f>VLOOKUP($A$1,AVAILABLE_Heroes[#All],MATCH(L283,AVAILABLE_Heroes[#Headers],0)+1)</f>
        <v>0</v>
      </c>
      <c r="Q284" s="185"/>
      <c r="R284" s="186"/>
      <c r="S284" s="187"/>
      <c r="T284" s="183">
        <f>IF(SUM(M286:M325)&gt;O284,"Error",SUM(M286:M325))</f>
        <v>0</v>
      </c>
      <c r="U284" s="188">
        <f>IF(T$284="Error","Error",O284-T284)</f>
        <v>0</v>
      </c>
      <c r="V284" s="189">
        <f>IF(T$284="Error","Error",SUM(Q286:Q325))</f>
        <v>0</v>
      </c>
    </row>
    <row r="285" spans="1:22" ht="15" customHeight="1" thickBot="1" x14ac:dyDescent="0.3">
      <c r="A285" s="200" t="s">
        <v>14</v>
      </c>
      <c r="B285" s="262" t="s">
        <v>13</v>
      </c>
      <c r="C285" s="202"/>
      <c r="D285" s="202"/>
      <c r="E285" s="203"/>
      <c r="F285" s="204" t="s">
        <v>13</v>
      </c>
      <c r="G285" s="205" t="s">
        <v>14</v>
      </c>
      <c r="H285" s="206" t="s">
        <v>133</v>
      </c>
      <c r="I285" s="206" t="s">
        <v>134</v>
      </c>
      <c r="J285" s="206" t="s">
        <v>74</v>
      </c>
      <c r="K285" s="207" t="s">
        <v>75</v>
      </c>
      <c r="L285" s="200" t="s">
        <v>14</v>
      </c>
      <c r="M285" s="262" t="s">
        <v>13</v>
      </c>
      <c r="N285" s="202"/>
      <c r="O285" s="202"/>
      <c r="P285" s="203"/>
      <c r="Q285" s="204" t="s">
        <v>13</v>
      </c>
      <c r="R285" s="205" t="s">
        <v>14</v>
      </c>
      <c r="S285" s="206" t="s">
        <v>133</v>
      </c>
      <c r="T285" s="206" t="s">
        <v>134</v>
      </c>
      <c r="U285" s="206" t="s">
        <v>74</v>
      </c>
      <c r="V285" s="207" t="s">
        <v>75</v>
      </c>
    </row>
    <row r="286" spans="1:22" ht="15" customHeight="1" x14ac:dyDescent="0.25">
      <c r="A286" s="263">
        <v>1</v>
      </c>
      <c r="B286" s="264" t="str">
        <f>IF(Paramètres!AS5=0,"",Paramètres!AS5)</f>
        <v/>
      </c>
      <c r="C286" s="265">
        <f t="shared" ref="C286" si="129">IF(C285&lt;&gt;0,C285+IF(AND(B285&lt;&gt;"",A285&lt;E$6),B285,0),IF(AND(B285&lt;&gt;"",A285&lt;E$6),B285,0))</f>
        <v>0</v>
      </c>
      <c r="D286" s="217"/>
      <c r="E286" s="218"/>
      <c r="F286" s="219">
        <f t="shared" ref="F286:F325" si="130">IF(G286&lt;&gt;"/",IF(I$284="Error","Error",$J$284+C286),"/")</f>
        <v>1</v>
      </c>
      <c r="G286" s="220">
        <f>IF(I$284="Error","Error",IF(AND($E$284&lt;&gt;"/",$E$284&gt;Paramètres!$AX2),Paramètres!$AX3,"/"))</f>
        <v>1</v>
      </c>
      <c r="H286" s="255">
        <f>IF(G286&lt;&gt;"/",VLOOKUP(G286,COSTS_Barbarian_King[#All],2),"/")</f>
        <v>10000</v>
      </c>
      <c r="I286" s="194">
        <f>IF(G286&lt;&gt;"/",VLOOKUP(G286,COSTS_Barbarian_King[#All],3),"/")</f>
        <v>0</v>
      </c>
      <c r="J286" s="255">
        <f t="shared" ref="J286:J325" si="131">IF(I$284="Error","Error",IF(H286&lt;&gt;"/",F286*H286,0))</f>
        <v>10000</v>
      </c>
      <c r="K286" s="221">
        <f t="shared" ref="K286:K325" si="132">IF(I$284="Error","Error",IF(I286&lt;&gt;"/",F286*I286,0))</f>
        <v>0</v>
      </c>
      <c r="L286" s="263">
        <v>1</v>
      </c>
      <c r="M286" s="264" t="str">
        <f>IF(Paramètres!AT5=0,"",Paramètres!AT5)</f>
        <v/>
      </c>
      <c r="N286" s="265">
        <f t="shared" ref="N286:N325" si="133">IF(N285&lt;&gt;0,N285+IF(AND(M285&lt;&gt;"",L285&lt;P$6),M285,0),IF(AND(M285&lt;&gt;"",L285&lt;P$6),M285,0))</f>
        <v>0</v>
      </c>
      <c r="O286" s="217"/>
      <c r="P286" s="218"/>
      <c r="Q286" s="219" t="str">
        <f>IF(R286&lt;&gt;"/",IF(T$284="Error","Error",$U$284+N286),"/")</f>
        <v>/</v>
      </c>
      <c r="R286" s="220" t="str">
        <f>IF(T$284="Error","Error",IF(AND($P$284&lt;&gt;"/",$P$284&gt;Paramètres!$AX2),Paramètres!$AX3,"/"))</f>
        <v>/</v>
      </c>
      <c r="S286" s="255" t="str">
        <f>IF(R286&lt;&gt;"/",VLOOKUP(R286,COSTS_Archer_Queen[#All],2),"/")</f>
        <v>/</v>
      </c>
      <c r="T286" s="194" t="str">
        <f>IF(R286&lt;&gt;"/",VLOOKUP(R286,COSTS_Archer_Queen[#All],3),"/")</f>
        <v>/</v>
      </c>
      <c r="U286" s="255">
        <f>IF(T$284="Error","Error",IF(S286&lt;&gt;"/",Q286*S286,0))</f>
        <v>0</v>
      </c>
      <c r="V286" s="221">
        <f>IF(T$284="Error","Error",IF(T286&lt;&gt;"/",Q286*T286,0))</f>
        <v>0</v>
      </c>
    </row>
    <row r="287" spans="1:22" ht="15" customHeight="1" x14ac:dyDescent="0.25">
      <c r="A287" s="266">
        <v>2</v>
      </c>
      <c r="B287" s="264" t="str">
        <f>IF(Paramètres!AS6=0,"",Paramètres!AS6)</f>
        <v/>
      </c>
      <c r="C287" s="265">
        <f t="shared" ref="C287:C325" si="134">IF(C286&lt;&gt;0,C286+IF(AND(B286&lt;&gt;"",A286&lt;E$6),B286,0),IF(AND(B286&lt;&gt;"",A286&lt;E$6),B286,0))</f>
        <v>0</v>
      </c>
      <c r="D287" s="217"/>
      <c r="E287" s="218"/>
      <c r="F287" s="219">
        <f t="shared" si="130"/>
        <v>1</v>
      </c>
      <c r="G287" s="220">
        <f>IF(I$284="Error","Error",IF(AND($E$284&lt;&gt;"/",$E$284&gt;Paramètres!$AX3),Paramètres!$AX4,"/"))</f>
        <v>2</v>
      </c>
      <c r="H287" s="255">
        <f>IF(G287&lt;&gt;"/",VLOOKUP(G287,COSTS_Barbarian_King[#All],2),"/")</f>
        <v>12500</v>
      </c>
      <c r="I287" s="194">
        <f>IF(G287&lt;&gt;"/",VLOOKUP(G287,COSTS_Barbarian_King[#All],3),"/")</f>
        <v>12</v>
      </c>
      <c r="J287" s="255">
        <f t="shared" si="131"/>
        <v>12500</v>
      </c>
      <c r="K287" s="221">
        <f t="shared" si="132"/>
        <v>12</v>
      </c>
      <c r="L287" s="266">
        <v>2</v>
      </c>
      <c r="M287" s="264" t="str">
        <f>IF(Paramètres!AT6=0,"",Paramètres!AT6)</f>
        <v/>
      </c>
      <c r="N287" s="265">
        <f t="shared" si="133"/>
        <v>0</v>
      </c>
      <c r="O287" s="217"/>
      <c r="P287" s="218"/>
      <c r="Q287" s="219" t="str">
        <f t="shared" ref="Q287:Q325" si="135">IF(R287&lt;&gt;"/",IF(T$284="Error","Error",$U$284+N287),"/")</f>
        <v>/</v>
      </c>
      <c r="R287" s="220" t="str">
        <f>IF(T$284="Error","Error",IF(AND($P$284&lt;&gt;"/",$P$284&gt;Paramètres!$AX3),Paramètres!$AX4,"/"))</f>
        <v>/</v>
      </c>
      <c r="S287" s="255" t="str">
        <f>IF(R287&lt;&gt;"/",VLOOKUP(R287,COSTS_Archer_Queen[#All],2),"/")</f>
        <v>/</v>
      </c>
      <c r="T287" s="194" t="str">
        <f>IF(R287&lt;&gt;"/",VLOOKUP(R287,COSTS_Archer_Queen[#All],3),"/")</f>
        <v>/</v>
      </c>
      <c r="U287" s="255">
        <f t="shared" ref="U287:U325" si="136">IF(T$284="Error","Error",IF(S287&lt;&gt;"/",Q287*S287,0))</f>
        <v>0</v>
      </c>
      <c r="V287" s="221">
        <f t="shared" ref="V287:V325" si="137">IF(T$284="Error","Error",IF(T287&lt;&gt;"/",Q287*T287,0))</f>
        <v>0</v>
      </c>
    </row>
    <row r="288" spans="1:22" ht="15" customHeight="1" x14ac:dyDescent="0.25">
      <c r="A288" s="266">
        <v>3</v>
      </c>
      <c r="B288" s="264" t="str">
        <f>IF(Paramètres!AS7=0,"",Paramètres!AS7)</f>
        <v/>
      </c>
      <c r="C288" s="265">
        <f t="shared" si="134"/>
        <v>0</v>
      </c>
      <c r="D288" s="217"/>
      <c r="E288" s="218"/>
      <c r="F288" s="219">
        <f t="shared" si="130"/>
        <v>1</v>
      </c>
      <c r="G288" s="220">
        <f>IF(I$284="Error","Error",IF(AND($E$284&lt;&gt;"/",$E$284&gt;Paramètres!$AX4),Paramètres!$AX5,"/"))</f>
        <v>3</v>
      </c>
      <c r="H288" s="255">
        <f>IF(G288&lt;&gt;"/",VLOOKUP(G288,COSTS_Barbarian_King[#All],2),"/")</f>
        <v>15000</v>
      </c>
      <c r="I288" s="194">
        <f>IF(G288&lt;&gt;"/",VLOOKUP(G288,COSTS_Barbarian_King[#All],3),"/")</f>
        <v>24</v>
      </c>
      <c r="J288" s="255">
        <f t="shared" si="131"/>
        <v>15000</v>
      </c>
      <c r="K288" s="221">
        <f t="shared" si="132"/>
        <v>24</v>
      </c>
      <c r="L288" s="266">
        <v>3</v>
      </c>
      <c r="M288" s="264" t="str">
        <f>IF(Paramètres!AT7=0,"",Paramètres!AT7)</f>
        <v/>
      </c>
      <c r="N288" s="265">
        <f t="shared" si="133"/>
        <v>0</v>
      </c>
      <c r="O288" s="217"/>
      <c r="P288" s="218"/>
      <c r="Q288" s="219" t="str">
        <f t="shared" si="135"/>
        <v>/</v>
      </c>
      <c r="R288" s="220" t="str">
        <f>IF(T$284="Error","Error",IF(AND($P$284&lt;&gt;"/",$P$284&gt;Paramètres!$AX4),Paramètres!$AX5,"/"))</f>
        <v>/</v>
      </c>
      <c r="S288" s="255" t="str">
        <f>IF(R288&lt;&gt;"/",VLOOKUP(R288,COSTS_Archer_Queen[#All],2),"/")</f>
        <v>/</v>
      </c>
      <c r="T288" s="194" t="str">
        <f>IF(R288&lt;&gt;"/",VLOOKUP(R288,COSTS_Archer_Queen[#All],3),"/")</f>
        <v>/</v>
      </c>
      <c r="U288" s="255">
        <f t="shared" si="136"/>
        <v>0</v>
      </c>
      <c r="V288" s="221">
        <f t="shared" si="137"/>
        <v>0</v>
      </c>
    </row>
    <row r="289" spans="1:22" ht="15" customHeight="1" x14ac:dyDescent="0.25">
      <c r="A289" s="266">
        <v>4</v>
      </c>
      <c r="B289" s="264" t="str">
        <f>IF(Paramètres!AS8=0,"",Paramètres!AS8)</f>
        <v/>
      </c>
      <c r="C289" s="265">
        <f t="shared" si="134"/>
        <v>0</v>
      </c>
      <c r="D289" s="217"/>
      <c r="E289" s="218"/>
      <c r="F289" s="219">
        <f t="shared" si="130"/>
        <v>1</v>
      </c>
      <c r="G289" s="220">
        <f>IF(I$284="Error","Error",IF(AND($E$284&lt;&gt;"/",$E$284&gt;Paramètres!$AX5),Paramètres!$AX6,"/"))</f>
        <v>4</v>
      </c>
      <c r="H289" s="255">
        <f>IF(G289&lt;&gt;"/",VLOOKUP(G289,COSTS_Barbarian_King[#All],2),"/")</f>
        <v>17500</v>
      </c>
      <c r="I289" s="194">
        <f>IF(G289&lt;&gt;"/",VLOOKUP(G289,COSTS_Barbarian_King[#All],3),"/")</f>
        <v>36</v>
      </c>
      <c r="J289" s="255">
        <f t="shared" si="131"/>
        <v>17500</v>
      </c>
      <c r="K289" s="221">
        <f t="shared" si="132"/>
        <v>36</v>
      </c>
      <c r="L289" s="266">
        <v>4</v>
      </c>
      <c r="M289" s="264" t="str">
        <f>IF(Paramètres!AT8=0,"",Paramètres!AT8)</f>
        <v/>
      </c>
      <c r="N289" s="265">
        <f t="shared" si="133"/>
        <v>0</v>
      </c>
      <c r="O289" s="217"/>
      <c r="P289" s="218"/>
      <c r="Q289" s="219" t="str">
        <f t="shared" si="135"/>
        <v>/</v>
      </c>
      <c r="R289" s="220" t="str">
        <f>IF(T$284="Error","Error",IF(AND($P$284&lt;&gt;"/",$P$284&gt;Paramètres!$AX5),Paramètres!$AX6,"/"))</f>
        <v>/</v>
      </c>
      <c r="S289" s="255" t="str">
        <f>IF(R289&lt;&gt;"/",VLOOKUP(R289,COSTS_Archer_Queen[#All],2),"/")</f>
        <v>/</v>
      </c>
      <c r="T289" s="194" t="str">
        <f>IF(R289&lt;&gt;"/",VLOOKUP(R289,COSTS_Archer_Queen[#All],3),"/")</f>
        <v>/</v>
      </c>
      <c r="U289" s="255">
        <f t="shared" si="136"/>
        <v>0</v>
      </c>
      <c r="V289" s="221">
        <f t="shared" si="137"/>
        <v>0</v>
      </c>
    </row>
    <row r="290" spans="1:22" ht="15" customHeight="1" x14ac:dyDescent="0.25">
      <c r="A290" s="266">
        <v>5</v>
      </c>
      <c r="B290" s="264" t="str">
        <f>IF(Paramètres!AS9=0,"",Paramètres!AS9)</f>
        <v/>
      </c>
      <c r="C290" s="265">
        <f t="shared" si="134"/>
        <v>0</v>
      </c>
      <c r="D290" s="217"/>
      <c r="E290" s="218"/>
      <c r="F290" s="219">
        <f t="shared" si="130"/>
        <v>1</v>
      </c>
      <c r="G290" s="220">
        <f>IF(I$284="Error","Error",IF(AND($E$284&lt;&gt;"/",$E$284&gt;Paramètres!$AX6),Paramètres!$AX7,"/"))</f>
        <v>5</v>
      </c>
      <c r="H290" s="255">
        <f>IF(G290&lt;&gt;"/",VLOOKUP(G290,COSTS_Barbarian_King[#All],2),"/")</f>
        <v>20000</v>
      </c>
      <c r="I290" s="194">
        <f>IF(G290&lt;&gt;"/",VLOOKUP(G290,COSTS_Barbarian_King[#All],3),"/")</f>
        <v>48</v>
      </c>
      <c r="J290" s="255">
        <f t="shared" si="131"/>
        <v>20000</v>
      </c>
      <c r="K290" s="221">
        <f t="shared" si="132"/>
        <v>48</v>
      </c>
      <c r="L290" s="266">
        <v>5</v>
      </c>
      <c r="M290" s="264" t="str">
        <f>IF(Paramètres!AT9=0,"",Paramètres!AT9)</f>
        <v/>
      </c>
      <c r="N290" s="265">
        <f t="shared" si="133"/>
        <v>0</v>
      </c>
      <c r="O290" s="217"/>
      <c r="P290" s="218"/>
      <c r="Q290" s="219" t="str">
        <f t="shared" si="135"/>
        <v>/</v>
      </c>
      <c r="R290" s="220" t="str">
        <f>IF(T$284="Error","Error",IF(AND($P$284&lt;&gt;"/",$P$284&gt;Paramètres!$AX6),Paramètres!$AX7,"/"))</f>
        <v>/</v>
      </c>
      <c r="S290" s="255" t="str">
        <f>IF(R290&lt;&gt;"/",VLOOKUP(R290,COSTS_Archer_Queen[#All],2),"/")</f>
        <v>/</v>
      </c>
      <c r="T290" s="194" t="str">
        <f>IF(R290&lt;&gt;"/",VLOOKUP(R290,COSTS_Archer_Queen[#All],3),"/")</f>
        <v>/</v>
      </c>
      <c r="U290" s="255">
        <f t="shared" si="136"/>
        <v>0</v>
      </c>
      <c r="V290" s="221">
        <f t="shared" si="137"/>
        <v>0</v>
      </c>
    </row>
    <row r="291" spans="1:22" ht="15" customHeight="1" x14ac:dyDescent="0.25">
      <c r="A291" s="266">
        <v>6</v>
      </c>
      <c r="B291" s="264" t="str">
        <f>IF(Paramètres!AS10=0,"",Paramètres!AS10)</f>
        <v/>
      </c>
      <c r="C291" s="265">
        <f t="shared" si="134"/>
        <v>0</v>
      </c>
      <c r="D291" s="217"/>
      <c r="E291" s="218"/>
      <c r="F291" s="219" t="str">
        <f t="shared" si="130"/>
        <v>/</v>
      </c>
      <c r="G291" s="220" t="str">
        <f>IF(I$284="Error","Error",IF(AND($E$284&lt;&gt;"/",$E$284&gt;Paramètres!$AX7),Paramètres!$AX8,"/"))</f>
        <v>/</v>
      </c>
      <c r="H291" s="255" t="str">
        <f>IF(G291&lt;&gt;"/",VLOOKUP(G291,COSTS_Barbarian_King[#All],2),"/")</f>
        <v>/</v>
      </c>
      <c r="I291" s="194" t="str">
        <f>IF(G291&lt;&gt;"/",VLOOKUP(G291,COSTS_Barbarian_King[#All],3),"/")</f>
        <v>/</v>
      </c>
      <c r="J291" s="255">
        <f t="shared" si="131"/>
        <v>0</v>
      </c>
      <c r="K291" s="221">
        <f t="shared" si="132"/>
        <v>0</v>
      </c>
      <c r="L291" s="266">
        <v>6</v>
      </c>
      <c r="M291" s="264" t="str">
        <f>IF(Paramètres!AT10=0,"",Paramètres!AT10)</f>
        <v/>
      </c>
      <c r="N291" s="265">
        <f t="shared" si="133"/>
        <v>0</v>
      </c>
      <c r="O291" s="217"/>
      <c r="P291" s="218"/>
      <c r="Q291" s="219" t="str">
        <f t="shared" si="135"/>
        <v>/</v>
      </c>
      <c r="R291" s="220" t="str">
        <f>IF(T$284="Error","Error",IF(AND($P$284&lt;&gt;"/",$P$284&gt;Paramètres!$AX7),Paramètres!$AX8,"/"))</f>
        <v>/</v>
      </c>
      <c r="S291" s="255" t="str">
        <f>IF(R291&lt;&gt;"/",VLOOKUP(R291,COSTS_Archer_Queen[#All],2),"/")</f>
        <v>/</v>
      </c>
      <c r="T291" s="194" t="str">
        <f>IF(R291&lt;&gt;"/",VLOOKUP(R291,COSTS_Archer_Queen[#All],3),"/")</f>
        <v>/</v>
      </c>
      <c r="U291" s="255">
        <f t="shared" si="136"/>
        <v>0</v>
      </c>
      <c r="V291" s="221">
        <f t="shared" si="137"/>
        <v>0</v>
      </c>
    </row>
    <row r="292" spans="1:22" ht="15" customHeight="1" x14ac:dyDescent="0.25">
      <c r="A292" s="266">
        <v>7</v>
      </c>
      <c r="B292" s="264" t="str">
        <f>IF(Paramètres!AS11=0,"",Paramètres!AS11)</f>
        <v/>
      </c>
      <c r="C292" s="265">
        <f t="shared" si="134"/>
        <v>0</v>
      </c>
      <c r="D292" s="217"/>
      <c r="E292" s="218"/>
      <c r="F292" s="219" t="str">
        <f t="shared" si="130"/>
        <v>/</v>
      </c>
      <c r="G292" s="220" t="str">
        <f>IF(I$284="Error","Error",IF(AND($E$284&lt;&gt;"/",$E$284&gt;Paramètres!$AX8),Paramètres!$AX9,"/"))</f>
        <v>/</v>
      </c>
      <c r="H292" s="255" t="str">
        <f>IF(G292&lt;&gt;"/",VLOOKUP(G292,COSTS_Barbarian_King[#All],2),"/")</f>
        <v>/</v>
      </c>
      <c r="I292" s="194" t="str">
        <f>IF(G292&lt;&gt;"/",VLOOKUP(G292,COSTS_Barbarian_King[#All],3),"/")</f>
        <v>/</v>
      </c>
      <c r="J292" s="255">
        <f t="shared" si="131"/>
        <v>0</v>
      </c>
      <c r="K292" s="221">
        <f t="shared" si="132"/>
        <v>0</v>
      </c>
      <c r="L292" s="266">
        <v>7</v>
      </c>
      <c r="M292" s="264" t="str">
        <f>IF(Paramètres!AT11=0,"",Paramètres!AT11)</f>
        <v/>
      </c>
      <c r="N292" s="265">
        <f t="shared" si="133"/>
        <v>0</v>
      </c>
      <c r="O292" s="217"/>
      <c r="P292" s="218"/>
      <c r="Q292" s="219" t="str">
        <f t="shared" si="135"/>
        <v>/</v>
      </c>
      <c r="R292" s="220" t="str">
        <f>IF(T$284="Error","Error",IF(AND($P$284&lt;&gt;"/",$P$284&gt;Paramètres!$AX8),Paramètres!$AX9,"/"))</f>
        <v>/</v>
      </c>
      <c r="S292" s="255" t="str">
        <f>IF(R292&lt;&gt;"/",VLOOKUP(R292,COSTS_Archer_Queen[#All],2),"/")</f>
        <v>/</v>
      </c>
      <c r="T292" s="194" t="str">
        <f>IF(R292&lt;&gt;"/",VLOOKUP(R292,COSTS_Archer_Queen[#All],3),"/")</f>
        <v>/</v>
      </c>
      <c r="U292" s="255">
        <f t="shared" si="136"/>
        <v>0</v>
      </c>
      <c r="V292" s="221">
        <f t="shared" si="137"/>
        <v>0</v>
      </c>
    </row>
    <row r="293" spans="1:22" ht="15" customHeight="1" x14ac:dyDescent="0.25">
      <c r="A293" s="266">
        <v>8</v>
      </c>
      <c r="B293" s="264" t="str">
        <f>IF(Paramètres!AS12=0,"",Paramètres!AS12)</f>
        <v/>
      </c>
      <c r="C293" s="265">
        <f t="shared" si="134"/>
        <v>0</v>
      </c>
      <c r="D293" s="217"/>
      <c r="E293" s="218"/>
      <c r="F293" s="219" t="str">
        <f t="shared" si="130"/>
        <v>/</v>
      </c>
      <c r="G293" s="220" t="str">
        <f>IF(I$284="Error","Error",IF(AND($E$284&lt;&gt;"/",$E$284&gt;Paramètres!$AX9),Paramètres!$AX10,"/"))</f>
        <v>/</v>
      </c>
      <c r="H293" s="255" t="str">
        <f>IF(G293&lt;&gt;"/",VLOOKUP(G293,COSTS_Barbarian_King[#All],2),"/")</f>
        <v>/</v>
      </c>
      <c r="I293" s="194" t="str">
        <f>IF(G293&lt;&gt;"/",VLOOKUP(G293,COSTS_Barbarian_King[#All],3),"/")</f>
        <v>/</v>
      </c>
      <c r="J293" s="255">
        <f t="shared" si="131"/>
        <v>0</v>
      </c>
      <c r="K293" s="221">
        <f t="shared" si="132"/>
        <v>0</v>
      </c>
      <c r="L293" s="266">
        <v>8</v>
      </c>
      <c r="M293" s="264" t="str">
        <f>IF(Paramètres!AT12=0,"",Paramètres!AT12)</f>
        <v/>
      </c>
      <c r="N293" s="265">
        <f t="shared" si="133"/>
        <v>0</v>
      </c>
      <c r="O293" s="217"/>
      <c r="P293" s="218"/>
      <c r="Q293" s="219" t="str">
        <f t="shared" si="135"/>
        <v>/</v>
      </c>
      <c r="R293" s="220" t="str">
        <f>IF(T$284="Error","Error",IF(AND($P$284&lt;&gt;"/",$P$284&gt;Paramètres!$AX9),Paramètres!$AX10,"/"))</f>
        <v>/</v>
      </c>
      <c r="S293" s="255" t="str">
        <f>IF(R293&lt;&gt;"/",VLOOKUP(R293,COSTS_Archer_Queen[#All],2),"/")</f>
        <v>/</v>
      </c>
      <c r="T293" s="194" t="str">
        <f>IF(R293&lt;&gt;"/",VLOOKUP(R293,COSTS_Archer_Queen[#All],3),"/")</f>
        <v>/</v>
      </c>
      <c r="U293" s="255">
        <f t="shared" si="136"/>
        <v>0</v>
      </c>
      <c r="V293" s="221">
        <f t="shared" si="137"/>
        <v>0</v>
      </c>
    </row>
    <row r="294" spans="1:22" ht="15" customHeight="1" x14ac:dyDescent="0.25">
      <c r="A294" s="266">
        <v>9</v>
      </c>
      <c r="B294" s="264" t="str">
        <f>IF(Paramètres!AS13=0,"",Paramètres!AS13)</f>
        <v/>
      </c>
      <c r="C294" s="265">
        <f t="shared" si="134"/>
        <v>0</v>
      </c>
      <c r="D294" s="217"/>
      <c r="E294" s="218"/>
      <c r="F294" s="219" t="str">
        <f t="shared" si="130"/>
        <v>/</v>
      </c>
      <c r="G294" s="220" t="str">
        <f>IF(I$284="Error","Error",IF(AND($E$284&lt;&gt;"/",$E$284&gt;Paramètres!$AX10),Paramètres!$AX11,"/"))</f>
        <v>/</v>
      </c>
      <c r="H294" s="255" t="str">
        <f>IF(G294&lt;&gt;"/",VLOOKUP(G294,COSTS_Barbarian_King[#All],2),"/")</f>
        <v>/</v>
      </c>
      <c r="I294" s="194" t="str">
        <f>IF(G294&lt;&gt;"/",VLOOKUP(G294,COSTS_Barbarian_King[#All],3),"/")</f>
        <v>/</v>
      </c>
      <c r="J294" s="255">
        <f t="shared" si="131"/>
        <v>0</v>
      </c>
      <c r="K294" s="221">
        <f t="shared" si="132"/>
        <v>0</v>
      </c>
      <c r="L294" s="266">
        <v>9</v>
      </c>
      <c r="M294" s="264" t="str">
        <f>IF(Paramètres!AT13=0,"",Paramètres!AT13)</f>
        <v/>
      </c>
      <c r="N294" s="265">
        <f t="shared" si="133"/>
        <v>0</v>
      </c>
      <c r="O294" s="217"/>
      <c r="P294" s="218"/>
      <c r="Q294" s="219" t="str">
        <f t="shared" si="135"/>
        <v>/</v>
      </c>
      <c r="R294" s="220" t="str">
        <f>IF(T$284="Error","Error",IF(AND($P$284&lt;&gt;"/",$P$284&gt;Paramètres!$AX10),Paramètres!$AX11,"/"))</f>
        <v>/</v>
      </c>
      <c r="S294" s="255" t="str">
        <f>IF(R294&lt;&gt;"/",VLOOKUP(R294,COSTS_Archer_Queen[#All],2),"/")</f>
        <v>/</v>
      </c>
      <c r="T294" s="194" t="str">
        <f>IF(R294&lt;&gt;"/",VLOOKUP(R294,COSTS_Archer_Queen[#All],3),"/")</f>
        <v>/</v>
      </c>
      <c r="U294" s="255">
        <f t="shared" si="136"/>
        <v>0</v>
      </c>
      <c r="V294" s="221">
        <f t="shared" si="137"/>
        <v>0</v>
      </c>
    </row>
    <row r="295" spans="1:22" ht="15" customHeight="1" x14ac:dyDescent="0.25">
      <c r="A295" s="266">
        <v>10</v>
      </c>
      <c r="B295" s="264" t="str">
        <f>IF(Paramètres!AS14=0,"",Paramètres!AS14)</f>
        <v/>
      </c>
      <c r="C295" s="265">
        <f t="shared" si="134"/>
        <v>0</v>
      </c>
      <c r="D295" s="217"/>
      <c r="E295" s="218"/>
      <c r="F295" s="219" t="str">
        <f t="shared" si="130"/>
        <v>/</v>
      </c>
      <c r="G295" s="220" t="str">
        <f>IF(I$284="Error","Error",IF(AND($E$284&lt;&gt;"/",$E$284&gt;Paramètres!$AX11),Paramètres!$AX12,"/"))</f>
        <v>/</v>
      </c>
      <c r="H295" s="255" t="str">
        <f>IF(G295&lt;&gt;"/",VLOOKUP(G295,COSTS_Barbarian_King[#All],2),"/")</f>
        <v>/</v>
      </c>
      <c r="I295" s="194" t="str">
        <f>IF(G295&lt;&gt;"/",VLOOKUP(G295,COSTS_Barbarian_King[#All],3),"/")</f>
        <v>/</v>
      </c>
      <c r="J295" s="255">
        <f t="shared" si="131"/>
        <v>0</v>
      </c>
      <c r="K295" s="221">
        <f t="shared" si="132"/>
        <v>0</v>
      </c>
      <c r="L295" s="266">
        <v>10</v>
      </c>
      <c r="M295" s="264" t="str">
        <f>IF(Paramètres!AT14=0,"",Paramètres!AT14)</f>
        <v/>
      </c>
      <c r="N295" s="265">
        <f t="shared" si="133"/>
        <v>0</v>
      </c>
      <c r="O295" s="217"/>
      <c r="P295" s="218"/>
      <c r="Q295" s="219" t="str">
        <f t="shared" si="135"/>
        <v>/</v>
      </c>
      <c r="R295" s="220" t="str">
        <f>IF(T$284="Error","Error",IF(AND($P$284&lt;&gt;"/",$P$284&gt;Paramètres!$AX11),Paramètres!$AX12,"/"))</f>
        <v>/</v>
      </c>
      <c r="S295" s="255" t="str">
        <f>IF(R295&lt;&gt;"/",VLOOKUP(R295,COSTS_Archer_Queen[#All],2),"/")</f>
        <v>/</v>
      </c>
      <c r="T295" s="194" t="str">
        <f>IF(R295&lt;&gt;"/",VLOOKUP(R295,COSTS_Archer_Queen[#All],3),"/")</f>
        <v>/</v>
      </c>
      <c r="U295" s="255">
        <f t="shared" si="136"/>
        <v>0</v>
      </c>
      <c r="V295" s="221">
        <f t="shared" si="137"/>
        <v>0</v>
      </c>
    </row>
    <row r="296" spans="1:22" ht="15" customHeight="1" x14ac:dyDescent="0.25">
      <c r="A296" s="266">
        <v>11</v>
      </c>
      <c r="B296" s="264" t="str">
        <f>IF(Paramètres!AS15=0,"",Paramètres!AS15)</f>
        <v/>
      </c>
      <c r="C296" s="265">
        <f t="shared" si="134"/>
        <v>0</v>
      </c>
      <c r="D296" s="217"/>
      <c r="E296" s="218"/>
      <c r="F296" s="219" t="str">
        <f t="shared" si="130"/>
        <v>/</v>
      </c>
      <c r="G296" s="220" t="str">
        <f>IF(I$284="Error","Error",IF(AND($E$284&lt;&gt;"/",$E$284&gt;Paramètres!$AX12),Paramètres!$AX13,"/"))</f>
        <v>/</v>
      </c>
      <c r="H296" s="255" t="str">
        <f>IF(G296&lt;&gt;"/",VLOOKUP(G296,COSTS_Barbarian_King[#All],2),"/")</f>
        <v>/</v>
      </c>
      <c r="I296" s="194" t="str">
        <f>IF(G296&lt;&gt;"/",VLOOKUP(G296,COSTS_Barbarian_King[#All],3),"/")</f>
        <v>/</v>
      </c>
      <c r="J296" s="255">
        <f t="shared" si="131"/>
        <v>0</v>
      </c>
      <c r="K296" s="221">
        <f t="shared" si="132"/>
        <v>0</v>
      </c>
      <c r="L296" s="266">
        <v>11</v>
      </c>
      <c r="M296" s="264" t="str">
        <f>IF(Paramètres!AT15=0,"",Paramètres!AT15)</f>
        <v/>
      </c>
      <c r="N296" s="265">
        <f t="shared" si="133"/>
        <v>0</v>
      </c>
      <c r="O296" s="217"/>
      <c r="P296" s="218"/>
      <c r="Q296" s="219" t="str">
        <f t="shared" si="135"/>
        <v>/</v>
      </c>
      <c r="R296" s="220" t="str">
        <f>IF(T$284="Error","Error",IF(AND($P$284&lt;&gt;"/",$P$284&gt;Paramètres!$AX12),Paramètres!$AX13,"/"))</f>
        <v>/</v>
      </c>
      <c r="S296" s="255" t="str">
        <f>IF(R296&lt;&gt;"/",VLOOKUP(R296,COSTS_Archer_Queen[#All],2),"/")</f>
        <v>/</v>
      </c>
      <c r="T296" s="194" t="str">
        <f>IF(R296&lt;&gt;"/",VLOOKUP(R296,COSTS_Archer_Queen[#All],3),"/")</f>
        <v>/</v>
      </c>
      <c r="U296" s="255">
        <f t="shared" si="136"/>
        <v>0</v>
      </c>
      <c r="V296" s="221">
        <f t="shared" si="137"/>
        <v>0</v>
      </c>
    </row>
    <row r="297" spans="1:22" ht="15" customHeight="1" x14ac:dyDescent="0.25">
      <c r="A297" s="266">
        <v>12</v>
      </c>
      <c r="B297" s="264" t="str">
        <f>IF(Paramètres!AS16=0,"",Paramètres!AS16)</f>
        <v/>
      </c>
      <c r="C297" s="265">
        <f t="shared" si="134"/>
        <v>0</v>
      </c>
      <c r="D297" s="217"/>
      <c r="E297" s="218"/>
      <c r="F297" s="219" t="str">
        <f t="shared" si="130"/>
        <v>/</v>
      </c>
      <c r="G297" s="220" t="str">
        <f>IF(I$284="Error","Error",IF(AND($E$284&lt;&gt;"/",$E$284&gt;Paramètres!$AX13),Paramètres!$AX14,"/"))</f>
        <v>/</v>
      </c>
      <c r="H297" s="255" t="str">
        <f>IF(G297&lt;&gt;"/",VLOOKUP(G297,COSTS_Barbarian_King[#All],2),"/")</f>
        <v>/</v>
      </c>
      <c r="I297" s="194" t="str">
        <f>IF(G297&lt;&gt;"/",VLOOKUP(G297,COSTS_Barbarian_King[#All],3),"/")</f>
        <v>/</v>
      </c>
      <c r="J297" s="255">
        <f t="shared" si="131"/>
        <v>0</v>
      </c>
      <c r="K297" s="221">
        <f t="shared" si="132"/>
        <v>0</v>
      </c>
      <c r="L297" s="266">
        <v>12</v>
      </c>
      <c r="M297" s="264" t="str">
        <f>IF(Paramètres!AT16=0,"",Paramètres!AT16)</f>
        <v/>
      </c>
      <c r="N297" s="265">
        <f t="shared" si="133"/>
        <v>0</v>
      </c>
      <c r="O297" s="217"/>
      <c r="P297" s="218"/>
      <c r="Q297" s="219" t="str">
        <f t="shared" si="135"/>
        <v>/</v>
      </c>
      <c r="R297" s="220" t="str">
        <f>IF(T$284="Error","Error",IF(AND($P$284&lt;&gt;"/",$P$284&gt;Paramètres!$AX13),Paramètres!$AX14,"/"))</f>
        <v>/</v>
      </c>
      <c r="S297" s="255" t="str">
        <f>IF(R297&lt;&gt;"/",VLOOKUP(R297,COSTS_Archer_Queen[#All],2),"/")</f>
        <v>/</v>
      </c>
      <c r="T297" s="194" t="str">
        <f>IF(R297&lt;&gt;"/",VLOOKUP(R297,COSTS_Archer_Queen[#All],3),"/")</f>
        <v>/</v>
      </c>
      <c r="U297" s="255">
        <f t="shared" si="136"/>
        <v>0</v>
      </c>
      <c r="V297" s="221">
        <f t="shared" si="137"/>
        <v>0</v>
      </c>
    </row>
    <row r="298" spans="1:22" ht="15" customHeight="1" x14ac:dyDescent="0.25">
      <c r="A298" s="266">
        <v>13</v>
      </c>
      <c r="B298" s="264" t="str">
        <f>IF(Paramètres!AS17=0,"",Paramètres!AS17)</f>
        <v/>
      </c>
      <c r="C298" s="265">
        <f t="shared" si="134"/>
        <v>0</v>
      </c>
      <c r="D298" s="217"/>
      <c r="E298" s="218"/>
      <c r="F298" s="219" t="str">
        <f t="shared" si="130"/>
        <v>/</v>
      </c>
      <c r="G298" s="220" t="str">
        <f>IF(I$284="Error","Error",IF(AND($E$284&lt;&gt;"/",$E$284&gt;Paramètres!$AX14),Paramètres!$AX15,"/"))</f>
        <v>/</v>
      </c>
      <c r="H298" s="255" t="str">
        <f>IF(G298&lt;&gt;"/",VLOOKUP(G298,COSTS_Barbarian_King[#All],2),"/")</f>
        <v>/</v>
      </c>
      <c r="I298" s="194" t="str">
        <f>IF(G298&lt;&gt;"/",VLOOKUP(G298,COSTS_Barbarian_King[#All],3),"/")</f>
        <v>/</v>
      </c>
      <c r="J298" s="255">
        <f t="shared" si="131"/>
        <v>0</v>
      </c>
      <c r="K298" s="221">
        <f t="shared" si="132"/>
        <v>0</v>
      </c>
      <c r="L298" s="266">
        <v>13</v>
      </c>
      <c r="M298" s="264" t="str">
        <f>IF(Paramètres!AT17=0,"",Paramètres!AT17)</f>
        <v/>
      </c>
      <c r="N298" s="265">
        <f t="shared" si="133"/>
        <v>0</v>
      </c>
      <c r="O298" s="217"/>
      <c r="P298" s="218"/>
      <c r="Q298" s="219" t="str">
        <f t="shared" si="135"/>
        <v>/</v>
      </c>
      <c r="R298" s="220" t="str">
        <f>IF(T$284="Error","Error",IF(AND($P$284&lt;&gt;"/",$P$284&gt;Paramètres!$AX14),Paramètres!$AX15,"/"))</f>
        <v>/</v>
      </c>
      <c r="S298" s="255" t="str">
        <f>IF(R298&lt;&gt;"/",VLOOKUP(R298,COSTS_Archer_Queen[#All],2),"/")</f>
        <v>/</v>
      </c>
      <c r="T298" s="194" t="str">
        <f>IF(R298&lt;&gt;"/",VLOOKUP(R298,COSTS_Archer_Queen[#All],3),"/")</f>
        <v>/</v>
      </c>
      <c r="U298" s="255">
        <f t="shared" si="136"/>
        <v>0</v>
      </c>
      <c r="V298" s="221">
        <f t="shared" si="137"/>
        <v>0</v>
      </c>
    </row>
    <row r="299" spans="1:22" ht="15" customHeight="1" x14ac:dyDescent="0.25">
      <c r="A299" s="266">
        <v>14</v>
      </c>
      <c r="B299" s="264" t="str">
        <f>IF(Paramètres!AS18=0,"",Paramètres!AS18)</f>
        <v/>
      </c>
      <c r="C299" s="265">
        <f t="shared" si="134"/>
        <v>0</v>
      </c>
      <c r="D299" s="217"/>
      <c r="E299" s="218"/>
      <c r="F299" s="219" t="str">
        <f t="shared" si="130"/>
        <v>/</v>
      </c>
      <c r="G299" s="220" t="str">
        <f>IF(I$284="Error","Error",IF(AND($E$284&lt;&gt;"/",$E$284&gt;Paramètres!$AX15),Paramètres!$AX16,"/"))</f>
        <v>/</v>
      </c>
      <c r="H299" s="255" t="str">
        <f>IF(G299&lt;&gt;"/",VLOOKUP(G299,COSTS_Barbarian_King[#All],2),"/")</f>
        <v>/</v>
      </c>
      <c r="I299" s="194" t="str">
        <f>IF(G299&lt;&gt;"/",VLOOKUP(G299,COSTS_Barbarian_King[#All],3),"/")</f>
        <v>/</v>
      </c>
      <c r="J299" s="255">
        <f t="shared" si="131"/>
        <v>0</v>
      </c>
      <c r="K299" s="221">
        <f t="shared" si="132"/>
        <v>0</v>
      </c>
      <c r="L299" s="266">
        <v>14</v>
      </c>
      <c r="M299" s="264" t="str">
        <f>IF(Paramètres!AT18=0,"",Paramètres!AT18)</f>
        <v/>
      </c>
      <c r="N299" s="265">
        <f t="shared" si="133"/>
        <v>0</v>
      </c>
      <c r="O299" s="217"/>
      <c r="P299" s="218"/>
      <c r="Q299" s="219" t="str">
        <f t="shared" si="135"/>
        <v>/</v>
      </c>
      <c r="R299" s="220" t="str">
        <f>IF(T$284="Error","Error",IF(AND($P$284&lt;&gt;"/",$P$284&gt;Paramètres!$AX15),Paramètres!$AX16,"/"))</f>
        <v>/</v>
      </c>
      <c r="S299" s="255" t="str">
        <f>IF(R299&lt;&gt;"/",VLOOKUP(R299,COSTS_Archer_Queen[#All],2),"/")</f>
        <v>/</v>
      </c>
      <c r="T299" s="194" t="str">
        <f>IF(R299&lt;&gt;"/",VLOOKUP(R299,COSTS_Archer_Queen[#All],3),"/")</f>
        <v>/</v>
      </c>
      <c r="U299" s="255">
        <f t="shared" si="136"/>
        <v>0</v>
      </c>
      <c r="V299" s="221">
        <f t="shared" si="137"/>
        <v>0</v>
      </c>
    </row>
    <row r="300" spans="1:22" ht="15" customHeight="1" x14ac:dyDescent="0.25">
      <c r="A300" s="266">
        <v>15</v>
      </c>
      <c r="B300" s="264" t="str">
        <f>IF(Paramètres!AS19=0,"",Paramètres!AS19)</f>
        <v/>
      </c>
      <c r="C300" s="265">
        <f t="shared" si="134"/>
        <v>0</v>
      </c>
      <c r="D300" s="217"/>
      <c r="E300" s="218"/>
      <c r="F300" s="219" t="str">
        <f t="shared" si="130"/>
        <v>/</v>
      </c>
      <c r="G300" s="220" t="str">
        <f>IF(I$284="Error","Error",IF(AND($E$284&lt;&gt;"/",$E$284&gt;Paramètres!$AX16),Paramètres!$AX17,"/"))</f>
        <v>/</v>
      </c>
      <c r="H300" s="255" t="str">
        <f>IF(G300&lt;&gt;"/",VLOOKUP(G300,COSTS_Barbarian_King[#All],2),"/")</f>
        <v>/</v>
      </c>
      <c r="I300" s="194" t="str">
        <f>IF(G300&lt;&gt;"/",VLOOKUP(G300,COSTS_Barbarian_King[#All],3),"/")</f>
        <v>/</v>
      </c>
      <c r="J300" s="255">
        <f t="shared" si="131"/>
        <v>0</v>
      </c>
      <c r="K300" s="221">
        <f t="shared" si="132"/>
        <v>0</v>
      </c>
      <c r="L300" s="266">
        <v>15</v>
      </c>
      <c r="M300" s="264" t="str">
        <f>IF(Paramètres!AT19=0,"",Paramètres!AT19)</f>
        <v/>
      </c>
      <c r="N300" s="265">
        <f t="shared" si="133"/>
        <v>0</v>
      </c>
      <c r="O300" s="217"/>
      <c r="P300" s="218"/>
      <c r="Q300" s="219" t="str">
        <f t="shared" si="135"/>
        <v>/</v>
      </c>
      <c r="R300" s="220" t="str">
        <f>IF(T$284="Error","Error",IF(AND($P$284&lt;&gt;"/",$P$284&gt;Paramètres!$AX16),Paramètres!$AX17,"/"))</f>
        <v>/</v>
      </c>
      <c r="S300" s="255" t="str">
        <f>IF(R300&lt;&gt;"/",VLOOKUP(R300,COSTS_Archer_Queen[#All],2),"/")</f>
        <v>/</v>
      </c>
      <c r="T300" s="194" t="str">
        <f>IF(R300&lt;&gt;"/",VLOOKUP(R300,COSTS_Archer_Queen[#All],3),"/")</f>
        <v>/</v>
      </c>
      <c r="U300" s="255">
        <f t="shared" si="136"/>
        <v>0</v>
      </c>
      <c r="V300" s="221">
        <f t="shared" si="137"/>
        <v>0</v>
      </c>
    </row>
    <row r="301" spans="1:22" ht="15" customHeight="1" x14ac:dyDescent="0.25">
      <c r="A301" s="266">
        <v>16</v>
      </c>
      <c r="B301" s="264" t="str">
        <f>IF(Paramètres!AS20=0,"",Paramètres!AS20)</f>
        <v/>
      </c>
      <c r="C301" s="265">
        <f t="shared" si="134"/>
        <v>0</v>
      </c>
      <c r="D301" s="217"/>
      <c r="E301" s="218"/>
      <c r="F301" s="219" t="str">
        <f t="shared" si="130"/>
        <v>/</v>
      </c>
      <c r="G301" s="220" t="str">
        <f>IF(I$284="Error","Error",IF(AND($E$284&lt;&gt;"/",$E$284&gt;Paramètres!$AX17),Paramètres!$AX18,"/"))</f>
        <v>/</v>
      </c>
      <c r="H301" s="255" t="str">
        <f>IF(G301&lt;&gt;"/",VLOOKUP(G301,COSTS_Barbarian_King[#All],2),"/")</f>
        <v>/</v>
      </c>
      <c r="I301" s="194" t="str">
        <f>IF(G301&lt;&gt;"/",VLOOKUP(G301,COSTS_Barbarian_King[#All],3),"/")</f>
        <v>/</v>
      </c>
      <c r="J301" s="255">
        <f t="shared" si="131"/>
        <v>0</v>
      </c>
      <c r="K301" s="221">
        <f t="shared" si="132"/>
        <v>0</v>
      </c>
      <c r="L301" s="266">
        <v>16</v>
      </c>
      <c r="M301" s="264" t="str">
        <f>IF(Paramètres!AT20=0,"",Paramètres!AT20)</f>
        <v/>
      </c>
      <c r="N301" s="265">
        <f t="shared" si="133"/>
        <v>0</v>
      </c>
      <c r="O301" s="217"/>
      <c r="P301" s="218"/>
      <c r="Q301" s="219" t="str">
        <f t="shared" si="135"/>
        <v>/</v>
      </c>
      <c r="R301" s="220" t="str">
        <f>IF(T$284="Error","Error",IF(AND($P$284&lt;&gt;"/",$P$284&gt;Paramètres!$AX17),Paramètres!$AX18,"/"))</f>
        <v>/</v>
      </c>
      <c r="S301" s="255" t="str">
        <f>IF(R301&lt;&gt;"/",VLOOKUP(R301,COSTS_Archer_Queen[#All],2),"/")</f>
        <v>/</v>
      </c>
      <c r="T301" s="194" t="str">
        <f>IF(R301&lt;&gt;"/",VLOOKUP(R301,COSTS_Archer_Queen[#All],3),"/")</f>
        <v>/</v>
      </c>
      <c r="U301" s="255">
        <f t="shared" si="136"/>
        <v>0</v>
      </c>
      <c r="V301" s="221">
        <f t="shared" si="137"/>
        <v>0</v>
      </c>
    </row>
    <row r="302" spans="1:22" ht="15" customHeight="1" x14ac:dyDescent="0.25">
      <c r="A302" s="266">
        <v>17</v>
      </c>
      <c r="B302" s="264" t="str">
        <f>IF(Paramètres!AS21=0,"",Paramètres!AS21)</f>
        <v/>
      </c>
      <c r="C302" s="265">
        <f t="shared" si="134"/>
        <v>0</v>
      </c>
      <c r="D302" s="217"/>
      <c r="E302" s="218"/>
      <c r="F302" s="219" t="str">
        <f t="shared" si="130"/>
        <v>/</v>
      </c>
      <c r="G302" s="220" t="str">
        <f>IF(I$284="Error","Error",IF(AND($E$284&lt;&gt;"/",$E$284&gt;Paramètres!$AX18),Paramètres!$AX19,"/"))</f>
        <v>/</v>
      </c>
      <c r="H302" s="255" t="str">
        <f>IF(G302&lt;&gt;"/",VLOOKUP(G302,COSTS_Barbarian_King[#All],2),"/")</f>
        <v>/</v>
      </c>
      <c r="I302" s="194" t="str">
        <f>IF(G302&lt;&gt;"/",VLOOKUP(G302,COSTS_Barbarian_King[#All],3),"/")</f>
        <v>/</v>
      </c>
      <c r="J302" s="255">
        <f t="shared" si="131"/>
        <v>0</v>
      </c>
      <c r="K302" s="221">
        <f t="shared" si="132"/>
        <v>0</v>
      </c>
      <c r="L302" s="266">
        <v>17</v>
      </c>
      <c r="M302" s="264" t="str">
        <f>IF(Paramètres!AT21=0,"",Paramètres!AT21)</f>
        <v/>
      </c>
      <c r="N302" s="265">
        <f t="shared" si="133"/>
        <v>0</v>
      </c>
      <c r="O302" s="217"/>
      <c r="P302" s="218"/>
      <c r="Q302" s="219" t="str">
        <f t="shared" si="135"/>
        <v>/</v>
      </c>
      <c r="R302" s="220" t="str">
        <f>IF(T$284="Error","Error",IF(AND($P$284&lt;&gt;"/",$P$284&gt;Paramètres!$AX18),Paramètres!$AX19,"/"))</f>
        <v>/</v>
      </c>
      <c r="S302" s="255" t="str">
        <f>IF(R302&lt;&gt;"/",VLOOKUP(R302,COSTS_Archer_Queen[#All],2),"/")</f>
        <v>/</v>
      </c>
      <c r="T302" s="194" t="str">
        <f>IF(R302&lt;&gt;"/",VLOOKUP(R302,COSTS_Archer_Queen[#All],3),"/")</f>
        <v>/</v>
      </c>
      <c r="U302" s="255">
        <f t="shared" si="136"/>
        <v>0</v>
      </c>
      <c r="V302" s="221">
        <f t="shared" si="137"/>
        <v>0</v>
      </c>
    </row>
    <row r="303" spans="1:22" ht="15" customHeight="1" x14ac:dyDescent="0.25">
      <c r="A303" s="266">
        <v>18</v>
      </c>
      <c r="B303" s="264" t="str">
        <f>IF(Paramètres!AS22=0,"",Paramètres!AS22)</f>
        <v/>
      </c>
      <c r="C303" s="265">
        <f t="shared" si="134"/>
        <v>0</v>
      </c>
      <c r="D303" s="217"/>
      <c r="E303" s="218"/>
      <c r="F303" s="219" t="str">
        <f t="shared" si="130"/>
        <v>/</v>
      </c>
      <c r="G303" s="220" t="str">
        <f>IF(I$284="Error","Error",IF(AND($E$284&lt;&gt;"/",$E$284&gt;Paramètres!$AX19),Paramètres!$AX20,"/"))</f>
        <v>/</v>
      </c>
      <c r="H303" s="255" t="str">
        <f>IF(G303&lt;&gt;"/",VLOOKUP(G303,COSTS_Barbarian_King[#All],2),"/")</f>
        <v>/</v>
      </c>
      <c r="I303" s="194" t="str">
        <f>IF(G303&lt;&gt;"/",VLOOKUP(G303,COSTS_Barbarian_King[#All],3),"/")</f>
        <v>/</v>
      </c>
      <c r="J303" s="255">
        <f t="shared" si="131"/>
        <v>0</v>
      </c>
      <c r="K303" s="221">
        <f t="shared" si="132"/>
        <v>0</v>
      </c>
      <c r="L303" s="266">
        <v>18</v>
      </c>
      <c r="M303" s="264" t="str">
        <f>IF(Paramètres!AT22=0,"",Paramètres!AT22)</f>
        <v/>
      </c>
      <c r="N303" s="265">
        <f t="shared" si="133"/>
        <v>0</v>
      </c>
      <c r="O303" s="217"/>
      <c r="P303" s="218"/>
      <c r="Q303" s="219" t="str">
        <f t="shared" si="135"/>
        <v>/</v>
      </c>
      <c r="R303" s="220" t="str">
        <f>IF(T$284="Error","Error",IF(AND($P$284&lt;&gt;"/",$P$284&gt;Paramètres!$AX19),Paramètres!$AX20,"/"))</f>
        <v>/</v>
      </c>
      <c r="S303" s="255" t="str">
        <f>IF(R303&lt;&gt;"/",VLOOKUP(R303,COSTS_Archer_Queen[#All],2),"/")</f>
        <v>/</v>
      </c>
      <c r="T303" s="194" t="str">
        <f>IF(R303&lt;&gt;"/",VLOOKUP(R303,COSTS_Archer_Queen[#All],3),"/")</f>
        <v>/</v>
      </c>
      <c r="U303" s="255">
        <f t="shared" si="136"/>
        <v>0</v>
      </c>
      <c r="V303" s="221">
        <f t="shared" si="137"/>
        <v>0</v>
      </c>
    </row>
    <row r="304" spans="1:22" ht="15" customHeight="1" x14ac:dyDescent="0.25">
      <c r="A304" s="266">
        <v>19</v>
      </c>
      <c r="B304" s="264" t="str">
        <f>IF(Paramètres!AS23=0,"",Paramètres!AS23)</f>
        <v/>
      </c>
      <c r="C304" s="265">
        <f t="shared" si="134"/>
        <v>0</v>
      </c>
      <c r="D304" s="217"/>
      <c r="E304" s="218"/>
      <c r="F304" s="219" t="str">
        <f t="shared" si="130"/>
        <v>/</v>
      </c>
      <c r="G304" s="220" t="str">
        <f>IF(I$284="Error","Error",IF(AND($E$284&lt;&gt;"/",$E$284&gt;Paramètres!$AX20),Paramètres!$AX21,"/"))</f>
        <v>/</v>
      </c>
      <c r="H304" s="255" t="str">
        <f>IF(G304&lt;&gt;"/",VLOOKUP(G304,COSTS_Barbarian_King[#All],2),"/")</f>
        <v>/</v>
      </c>
      <c r="I304" s="194" t="str">
        <f>IF(G304&lt;&gt;"/",VLOOKUP(G304,COSTS_Barbarian_King[#All],3),"/")</f>
        <v>/</v>
      </c>
      <c r="J304" s="255">
        <f t="shared" si="131"/>
        <v>0</v>
      </c>
      <c r="K304" s="221">
        <f t="shared" si="132"/>
        <v>0</v>
      </c>
      <c r="L304" s="266">
        <v>19</v>
      </c>
      <c r="M304" s="264" t="str">
        <f>IF(Paramètres!AT23=0,"",Paramètres!AT23)</f>
        <v/>
      </c>
      <c r="N304" s="265">
        <f t="shared" si="133"/>
        <v>0</v>
      </c>
      <c r="O304" s="217"/>
      <c r="P304" s="218"/>
      <c r="Q304" s="219" t="str">
        <f t="shared" si="135"/>
        <v>/</v>
      </c>
      <c r="R304" s="220" t="str">
        <f>IF(T$284="Error","Error",IF(AND($P$284&lt;&gt;"/",$P$284&gt;Paramètres!$AX20),Paramètres!$AX21,"/"))</f>
        <v>/</v>
      </c>
      <c r="S304" s="255" t="str">
        <f>IF(R304&lt;&gt;"/",VLOOKUP(R304,COSTS_Archer_Queen[#All],2),"/")</f>
        <v>/</v>
      </c>
      <c r="T304" s="194" t="str">
        <f>IF(R304&lt;&gt;"/",VLOOKUP(R304,COSTS_Archer_Queen[#All],3),"/")</f>
        <v>/</v>
      </c>
      <c r="U304" s="255">
        <f t="shared" si="136"/>
        <v>0</v>
      </c>
      <c r="V304" s="221">
        <f t="shared" si="137"/>
        <v>0</v>
      </c>
    </row>
    <row r="305" spans="1:22" ht="15" customHeight="1" x14ac:dyDescent="0.25">
      <c r="A305" s="266">
        <v>20</v>
      </c>
      <c r="B305" s="264" t="str">
        <f>IF(Paramètres!AS24=0,"",Paramètres!AS24)</f>
        <v/>
      </c>
      <c r="C305" s="265">
        <f t="shared" si="134"/>
        <v>0</v>
      </c>
      <c r="D305" s="217"/>
      <c r="E305" s="218"/>
      <c r="F305" s="219" t="str">
        <f t="shared" si="130"/>
        <v>/</v>
      </c>
      <c r="G305" s="220" t="str">
        <f>IF(I$284="Error","Error",IF(AND($E$284&lt;&gt;"/",$E$284&gt;Paramètres!$AX21),Paramètres!$AX22,"/"))</f>
        <v>/</v>
      </c>
      <c r="H305" s="255" t="str">
        <f>IF(G305&lt;&gt;"/",VLOOKUP(G305,COSTS_Barbarian_King[#All],2),"/")</f>
        <v>/</v>
      </c>
      <c r="I305" s="194" t="str">
        <f>IF(G305&lt;&gt;"/",VLOOKUP(G305,COSTS_Barbarian_King[#All],3),"/")</f>
        <v>/</v>
      </c>
      <c r="J305" s="255">
        <f t="shared" si="131"/>
        <v>0</v>
      </c>
      <c r="K305" s="221">
        <f t="shared" si="132"/>
        <v>0</v>
      </c>
      <c r="L305" s="266">
        <v>20</v>
      </c>
      <c r="M305" s="264" t="str">
        <f>IF(Paramètres!AT24=0,"",Paramètres!AT24)</f>
        <v/>
      </c>
      <c r="N305" s="265">
        <f t="shared" si="133"/>
        <v>0</v>
      </c>
      <c r="O305" s="217"/>
      <c r="P305" s="218"/>
      <c r="Q305" s="219" t="str">
        <f t="shared" si="135"/>
        <v>/</v>
      </c>
      <c r="R305" s="220" t="str">
        <f>IF(T$284="Error","Error",IF(AND($P$284&lt;&gt;"/",$P$284&gt;Paramètres!$AX21),Paramètres!$AX22,"/"))</f>
        <v>/</v>
      </c>
      <c r="S305" s="255" t="str">
        <f>IF(R305&lt;&gt;"/",VLOOKUP(R305,COSTS_Archer_Queen[#All],2),"/")</f>
        <v>/</v>
      </c>
      <c r="T305" s="194" t="str">
        <f>IF(R305&lt;&gt;"/",VLOOKUP(R305,COSTS_Archer_Queen[#All],3),"/")</f>
        <v>/</v>
      </c>
      <c r="U305" s="255">
        <f t="shared" si="136"/>
        <v>0</v>
      </c>
      <c r="V305" s="221">
        <f t="shared" si="137"/>
        <v>0</v>
      </c>
    </row>
    <row r="306" spans="1:22" ht="15" customHeight="1" x14ac:dyDescent="0.25">
      <c r="A306" s="266">
        <v>21</v>
      </c>
      <c r="B306" s="264" t="str">
        <f>IF(Paramètres!AS25=0,"",Paramètres!AS25)</f>
        <v/>
      </c>
      <c r="C306" s="265">
        <f t="shared" si="134"/>
        <v>0</v>
      </c>
      <c r="D306" s="217"/>
      <c r="E306" s="218"/>
      <c r="F306" s="219" t="str">
        <f t="shared" si="130"/>
        <v>/</v>
      </c>
      <c r="G306" s="220" t="str">
        <f>IF(I$284="Error","Error",IF(AND($E$284&lt;&gt;"/",$E$284&gt;Paramètres!$AX22),Paramètres!$AX23,"/"))</f>
        <v>/</v>
      </c>
      <c r="H306" s="255" t="str">
        <f>IF(G306&lt;&gt;"/",VLOOKUP(G306,COSTS_Barbarian_King[#All],2),"/")</f>
        <v>/</v>
      </c>
      <c r="I306" s="194" t="str">
        <f>IF(G306&lt;&gt;"/",VLOOKUP(G306,COSTS_Barbarian_King[#All],3),"/")</f>
        <v>/</v>
      </c>
      <c r="J306" s="255">
        <f t="shared" si="131"/>
        <v>0</v>
      </c>
      <c r="K306" s="221">
        <f t="shared" si="132"/>
        <v>0</v>
      </c>
      <c r="L306" s="266">
        <v>21</v>
      </c>
      <c r="M306" s="264" t="str">
        <f>IF(Paramètres!AT25=0,"",Paramètres!AT25)</f>
        <v/>
      </c>
      <c r="N306" s="265">
        <f t="shared" si="133"/>
        <v>0</v>
      </c>
      <c r="O306" s="217"/>
      <c r="P306" s="218"/>
      <c r="Q306" s="219" t="str">
        <f t="shared" si="135"/>
        <v>/</v>
      </c>
      <c r="R306" s="220" t="str">
        <f>IF(T$284="Error","Error",IF(AND($P$284&lt;&gt;"/",$P$284&gt;Paramètres!$AX22),Paramètres!$AX23,"/"))</f>
        <v>/</v>
      </c>
      <c r="S306" s="255" t="str">
        <f>IF(R306&lt;&gt;"/",VLOOKUP(R306,COSTS_Archer_Queen[#All],2),"/")</f>
        <v>/</v>
      </c>
      <c r="T306" s="194" t="str">
        <f>IF(R306&lt;&gt;"/",VLOOKUP(R306,COSTS_Archer_Queen[#All],3),"/")</f>
        <v>/</v>
      </c>
      <c r="U306" s="255">
        <f t="shared" si="136"/>
        <v>0</v>
      </c>
      <c r="V306" s="221">
        <f t="shared" si="137"/>
        <v>0</v>
      </c>
    </row>
    <row r="307" spans="1:22" ht="15" customHeight="1" x14ac:dyDescent="0.25">
      <c r="A307" s="266">
        <v>22</v>
      </c>
      <c r="B307" s="264" t="str">
        <f>IF(Paramètres!AS26=0,"",Paramètres!AS26)</f>
        <v/>
      </c>
      <c r="C307" s="265">
        <f t="shared" si="134"/>
        <v>0</v>
      </c>
      <c r="D307" s="217"/>
      <c r="E307" s="218"/>
      <c r="F307" s="219" t="str">
        <f t="shared" si="130"/>
        <v>/</v>
      </c>
      <c r="G307" s="220" t="str">
        <f>IF(I$284="Error","Error",IF(AND($E$284&lt;&gt;"/",$E$284&gt;Paramètres!$AX23),Paramètres!$AX24,"/"))</f>
        <v>/</v>
      </c>
      <c r="H307" s="255" t="str">
        <f>IF(G307&lt;&gt;"/",VLOOKUP(G307,COSTS_Barbarian_King[#All],2),"/")</f>
        <v>/</v>
      </c>
      <c r="I307" s="194" t="str">
        <f>IF(G307&lt;&gt;"/",VLOOKUP(G307,COSTS_Barbarian_King[#All],3),"/")</f>
        <v>/</v>
      </c>
      <c r="J307" s="255">
        <f t="shared" si="131"/>
        <v>0</v>
      </c>
      <c r="K307" s="221">
        <f t="shared" si="132"/>
        <v>0</v>
      </c>
      <c r="L307" s="266">
        <v>22</v>
      </c>
      <c r="M307" s="264" t="str">
        <f>IF(Paramètres!AT26=0,"",Paramètres!AT26)</f>
        <v/>
      </c>
      <c r="N307" s="265">
        <f t="shared" si="133"/>
        <v>0</v>
      </c>
      <c r="O307" s="217"/>
      <c r="P307" s="218"/>
      <c r="Q307" s="219" t="str">
        <f t="shared" si="135"/>
        <v>/</v>
      </c>
      <c r="R307" s="220" t="str">
        <f>IF(T$284="Error","Error",IF(AND($P$284&lt;&gt;"/",$P$284&gt;Paramètres!$AX23),Paramètres!$AX24,"/"))</f>
        <v>/</v>
      </c>
      <c r="S307" s="255" t="str">
        <f>IF(R307&lt;&gt;"/",VLOOKUP(R307,COSTS_Archer_Queen[#All],2),"/")</f>
        <v>/</v>
      </c>
      <c r="T307" s="194" t="str">
        <f>IF(R307&lt;&gt;"/",VLOOKUP(R307,COSTS_Archer_Queen[#All],3),"/")</f>
        <v>/</v>
      </c>
      <c r="U307" s="255">
        <f t="shared" si="136"/>
        <v>0</v>
      </c>
      <c r="V307" s="221">
        <f t="shared" si="137"/>
        <v>0</v>
      </c>
    </row>
    <row r="308" spans="1:22" ht="15" customHeight="1" x14ac:dyDescent="0.25">
      <c r="A308" s="266">
        <v>23</v>
      </c>
      <c r="B308" s="264" t="str">
        <f>IF(Paramètres!AS27=0,"",Paramètres!AS27)</f>
        <v/>
      </c>
      <c r="C308" s="265">
        <f t="shared" si="134"/>
        <v>0</v>
      </c>
      <c r="D308" s="217"/>
      <c r="E308" s="218"/>
      <c r="F308" s="219" t="str">
        <f t="shared" si="130"/>
        <v>/</v>
      </c>
      <c r="G308" s="220" t="str">
        <f>IF(I$284="Error","Error",IF(AND($E$284&lt;&gt;"/",$E$284&gt;Paramètres!$AX24),Paramètres!$AX25,"/"))</f>
        <v>/</v>
      </c>
      <c r="H308" s="255" t="str">
        <f>IF(G308&lt;&gt;"/",VLOOKUP(G308,COSTS_Barbarian_King[#All],2),"/")</f>
        <v>/</v>
      </c>
      <c r="I308" s="194" t="str">
        <f>IF(G308&lt;&gt;"/",VLOOKUP(G308,COSTS_Barbarian_King[#All],3),"/")</f>
        <v>/</v>
      </c>
      <c r="J308" s="255">
        <f t="shared" si="131"/>
        <v>0</v>
      </c>
      <c r="K308" s="221">
        <f t="shared" si="132"/>
        <v>0</v>
      </c>
      <c r="L308" s="266">
        <v>23</v>
      </c>
      <c r="M308" s="264" t="str">
        <f>IF(Paramètres!AT27=0,"",Paramètres!AT27)</f>
        <v/>
      </c>
      <c r="N308" s="265">
        <f t="shared" si="133"/>
        <v>0</v>
      </c>
      <c r="O308" s="217"/>
      <c r="P308" s="218"/>
      <c r="Q308" s="219" t="str">
        <f t="shared" si="135"/>
        <v>/</v>
      </c>
      <c r="R308" s="220" t="str">
        <f>IF(T$284="Error","Error",IF(AND($P$284&lt;&gt;"/",$P$284&gt;Paramètres!$AX24),Paramètres!$AX25,"/"))</f>
        <v>/</v>
      </c>
      <c r="S308" s="255" t="str">
        <f>IF(R308&lt;&gt;"/",VLOOKUP(R308,COSTS_Archer_Queen[#All],2),"/")</f>
        <v>/</v>
      </c>
      <c r="T308" s="194" t="str">
        <f>IF(R308&lt;&gt;"/",VLOOKUP(R308,COSTS_Archer_Queen[#All],3),"/")</f>
        <v>/</v>
      </c>
      <c r="U308" s="255">
        <f t="shared" si="136"/>
        <v>0</v>
      </c>
      <c r="V308" s="221">
        <f t="shared" si="137"/>
        <v>0</v>
      </c>
    </row>
    <row r="309" spans="1:22" ht="15" customHeight="1" x14ac:dyDescent="0.25">
      <c r="A309" s="266">
        <v>24</v>
      </c>
      <c r="B309" s="264" t="str">
        <f>IF(Paramètres!AS28=0,"",Paramètres!AS28)</f>
        <v/>
      </c>
      <c r="C309" s="265">
        <f t="shared" si="134"/>
        <v>0</v>
      </c>
      <c r="D309" s="217"/>
      <c r="E309" s="218"/>
      <c r="F309" s="219" t="str">
        <f t="shared" si="130"/>
        <v>/</v>
      </c>
      <c r="G309" s="220" t="str">
        <f>IF(I$284="Error","Error",IF(AND($E$284&lt;&gt;"/",$E$284&gt;Paramètres!$AX25),Paramètres!$AX26,"/"))</f>
        <v>/</v>
      </c>
      <c r="H309" s="255" t="str">
        <f>IF(G309&lt;&gt;"/",VLOOKUP(G309,COSTS_Barbarian_King[#All],2),"/")</f>
        <v>/</v>
      </c>
      <c r="I309" s="194" t="str">
        <f>IF(G309&lt;&gt;"/",VLOOKUP(G309,COSTS_Barbarian_King[#All],3),"/")</f>
        <v>/</v>
      </c>
      <c r="J309" s="255">
        <f t="shared" si="131"/>
        <v>0</v>
      </c>
      <c r="K309" s="221">
        <f t="shared" si="132"/>
        <v>0</v>
      </c>
      <c r="L309" s="266">
        <v>24</v>
      </c>
      <c r="M309" s="264" t="str">
        <f>IF(Paramètres!AT28=0,"",Paramètres!AT28)</f>
        <v/>
      </c>
      <c r="N309" s="265">
        <f t="shared" si="133"/>
        <v>0</v>
      </c>
      <c r="O309" s="217"/>
      <c r="P309" s="218"/>
      <c r="Q309" s="219" t="str">
        <f t="shared" si="135"/>
        <v>/</v>
      </c>
      <c r="R309" s="220" t="str">
        <f>IF(T$284="Error","Error",IF(AND($P$284&lt;&gt;"/",$P$284&gt;Paramètres!$AX25),Paramètres!$AX26,"/"))</f>
        <v>/</v>
      </c>
      <c r="S309" s="255" t="str">
        <f>IF(R309&lt;&gt;"/",VLOOKUP(R309,COSTS_Archer_Queen[#All],2),"/")</f>
        <v>/</v>
      </c>
      <c r="T309" s="194" t="str">
        <f>IF(R309&lt;&gt;"/",VLOOKUP(R309,COSTS_Archer_Queen[#All],3),"/")</f>
        <v>/</v>
      </c>
      <c r="U309" s="255">
        <f t="shared" si="136"/>
        <v>0</v>
      </c>
      <c r="V309" s="221">
        <f t="shared" si="137"/>
        <v>0</v>
      </c>
    </row>
    <row r="310" spans="1:22" ht="15" customHeight="1" x14ac:dyDescent="0.25">
      <c r="A310" s="266">
        <v>25</v>
      </c>
      <c r="B310" s="264" t="str">
        <f>IF(Paramètres!AS29=0,"",Paramètres!AS29)</f>
        <v/>
      </c>
      <c r="C310" s="265">
        <f t="shared" si="134"/>
        <v>0</v>
      </c>
      <c r="D310" s="217"/>
      <c r="E310" s="218"/>
      <c r="F310" s="219" t="str">
        <f t="shared" si="130"/>
        <v>/</v>
      </c>
      <c r="G310" s="220" t="str">
        <f>IF(I$284="Error","Error",IF(AND($E$284&lt;&gt;"/",$E$284&gt;Paramètres!$AX26),Paramètres!$AX27,"/"))</f>
        <v>/</v>
      </c>
      <c r="H310" s="255" t="str">
        <f>IF(G310&lt;&gt;"/",VLOOKUP(G310,COSTS_Barbarian_King[#All],2),"/")</f>
        <v>/</v>
      </c>
      <c r="I310" s="194" t="str">
        <f>IF(G310&lt;&gt;"/",VLOOKUP(G310,COSTS_Barbarian_King[#All],3),"/")</f>
        <v>/</v>
      </c>
      <c r="J310" s="255">
        <f t="shared" si="131"/>
        <v>0</v>
      </c>
      <c r="K310" s="221">
        <f t="shared" si="132"/>
        <v>0</v>
      </c>
      <c r="L310" s="266">
        <v>25</v>
      </c>
      <c r="M310" s="264" t="str">
        <f>IF(Paramètres!AT29=0,"",Paramètres!AT29)</f>
        <v/>
      </c>
      <c r="N310" s="265">
        <f t="shared" si="133"/>
        <v>0</v>
      </c>
      <c r="O310" s="217"/>
      <c r="P310" s="218"/>
      <c r="Q310" s="219" t="str">
        <f t="shared" si="135"/>
        <v>/</v>
      </c>
      <c r="R310" s="220" t="str">
        <f>IF(T$284="Error","Error",IF(AND($P$284&lt;&gt;"/",$P$284&gt;Paramètres!$AX26),Paramètres!$AX27,"/"))</f>
        <v>/</v>
      </c>
      <c r="S310" s="255" t="str">
        <f>IF(R310&lt;&gt;"/",VLOOKUP(R310,COSTS_Archer_Queen[#All],2),"/")</f>
        <v>/</v>
      </c>
      <c r="T310" s="194" t="str">
        <f>IF(R310&lt;&gt;"/",VLOOKUP(R310,COSTS_Archer_Queen[#All],3),"/")</f>
        <v>/</v>
      </c>
      <c r="U310" s="255">
        <f t="shared" si="136"/>
        <v>0</v>
      </c>
      <c r="V310" s="221">
        <f t="shared" si="137"/>
        <v>0</v>
      </c>
    </row>
    <row r="311" spans="1:22" ht="15" customHeight="1" x14ac:dyDescent="0.25">
      <c r="A311" s="266">
        <v>26</v>
      </c>
      <c r="B311" s="264" t="str">
        <f>IF(Paramètres!AS30=0,"",Paramètres!AS30)</f>
        <v/>
      </c>
      <c r="C311" s="265">
        <f t="shared" si="134"/>
        <v>0</v>
      </c>
      <c r="D311" s="217"/>
      <c r="E311" s="218"/>
      <c r="F311" s="219" t="str">
        <f t="shared" si="130"/>
        <v>/</v>
      </c>
      <c r="G311" s="220" t="str">
        <f>IF(I$284="Error","Error",IF(AND($E$284&lt;&gt;"/",$E$284&gt;Paramètres!$AX27),Paramètres!$AX28,"/"))</f>
        <v>/</v>
      </c>
      <c r="H311" s="255" t="str">
        <f>IF(G311&lt;&gt;"/",VLOOKUP(G311,COSTS_Barbarian_King[#All],2),"/")</f>
        <v>/</v>
      </c>
      <c r="I311" s="194" t="str">
        <f>IF(G311&lt;&gt;"/",VLOOKUP(G311,COSTS_Barbarian_King[#All],3),"/")</f>
        <v>/</v>
      </c>
      <c r="J311" s="255">
        <f t="shared" si="131"/>
        <v>0</v>
      </c>
      <c r="K311" s="221">
        <f t="shared" si="132"/>
        <v>0</v>
      </c>
      <c r="L311" s="266">
        <v>26</v>
      </c>
      <c r="M311" s="264" t="str">
        <f>IF(Paramètres!AT30=0,"",Paramètres!AT30)</f>
        <v/>
      </c>
      <c r="N311" s="265">
        <f t="shared" si="133"/>
        <v>0</v>
      </c>
      <c r="O311" s="217"/>
      <c r="P311" s="218"/>
      <c r="Q311" s="219" t="str">
        <f t="shared" si="135"/>
        <v>/</v>
      </c>
      <c r="R311" s="220" t="str">
        <f>IF(T$284="Error","Error",IF(AND($P$284&lt;&gt;"/",$P$284&gt;Paramètres!$AX27),Paramètres!$AX28,"/"))</f>
        <v>/</v>
      </c>
      <c r="S311" s="255" t="str">
        <f>IF(R311&lt;&gt;"/",VLOOKUP(R311,COSTS_Archer_Queen[#All],2),"/")</f>
        <v>/</v>
      </c>
      <c r="T311" s="194" t="str">
        <f>IF(R311&lt;&gt;"/",VLOOKUP(R311,COSTS_Archer_Queen[#All],3),"/")</f>
        <v>/</v>
      </c>
      <c r="U311" s="255">
        <f t="shared" si="136"/>
        <v>0</v>
      </c>
      <c r="V311" s="221">
        <f t="shared" si="137"/>
        <v>0</v>
      </c>
    </row>
    <row r="312" spans="1:22" ht="15" customHeight="1" x14ac:dyDescent="0.25">
      <c r="A312" s="266">
        <v>27</v>
      </c>
      <c r="B312" s="264" t="str">
        <f>IF(Paramètres!AS31=0,"",Paramètres!AS31)</f>
        <v/>
      </c>
      <c r="C312" s="265">
        <f t="shared" si="134"/>
        <v>0</v>
      </c>
      <c r="D312" s="217"/>
      <c r="E312" s="218"/>
      <c r="F312" s="219" t="str">
        <f t="shared" si="130"/>
        <v>/</v>
      </c>
      <c r="G312" s="220" t="str">
        <f>IF(I$284="Error","Error",IF(AND($E$284&lt;&gt;"/",$E$284&gt;Paramètres!$AX28),Paramètres!$AX29,"/"))</f>
        <v>/</v>
      </c>
      <c r="H312" s="255" t="str">
        <f>IF(G312&lt;&gt;"/",VLOOKUP(G312,COSTS_Barbarian_King[#All],2),"/")</f>
        <v>/</v>
      </c>
      <c r="I312" s="194" t="str">
        <f>IF(G312&lt;&gt;"/",VLOOKUP(G312,COSTS_Barbarian_King[#All],3),"/")</f>
        <v>/</v>
      </c>
      <c r="J312" s="255">
        <f t="shared" si="131"/>
        <v>0</v>
      </c>
      <c r="K312" s="221">
        <f t="shared" si="132"/>
        <v>0</v>
      </c>
      <c r="L312" s="266">
        <v>27</v>
      </c>
      <c r="M312" s="264" t="str">
        <f>IF(Paramètres!AT31=0,"",Paramètres!AT31)</f>
        <v/>
      </c>
      <c r="N312" s="265">
        <f t="shared" si="133"/>
        <v>0</v>
      </c>
      <c r="O312" s="217"/>
      <c r="P312" s="218"/>
      <c r="Q312" s="219" t="str">
        <f t="shared" si="135"/>
        <v>/</v>
      </c>
      <c r="R312" s="220" t="str">
        <f>IF(T$284="Error","Error",IF(AND($P$284&lt;&gt;"/",$P$284&gt;Paramètres!$AX28),Paramètres!$AX29,"/"))</f>
        <v>/</v>
      </c>
      <c r="S312" s="255" t="str">
        <f>IF(R312&lt;&gt;"/",VLOOKUP(R312,COSTS_Archer_Queen[#All],2),"/")</f>
        <v>/</v>
      </c>
      <c r="T312" s="194" t="str">
        <f>IF(R312&lt;&gt;"/",VLOOKUP(R312,COSTS_Archer_Queen[#All],3),"/")</f>
        <v>/</v>
      </c>
      <c r="U312" s="255">
        <f t="shared" si="136"/>
        <v>0</v>
      </c>
      <c r="V312" s="221">
        <f t="shared" si="137"/>
        <v>0</v>
      </c>
    </row>
    <row r="313" spans="1:22" ht="15" customHeight="1" x14ac:dyDescent="0.25">
      <c r="A313" s="266">
        <v>28</v>
      </c>
      <c r="B313" s="264" t="str">
        <f>IF(Paramètres!AS32=0,"",Paramètres!AS32)</f>
        <v/>
      </c>
      <c r="C313" s="265">
        <f t="shared" si="134"/>
        <v>0</v>
      </c>
      <c r="D313" s="217"/>
      <c r="E313" s="218"/>
      <c r="F313" s="219" t="str">
        <f t="shared" si="130"/>
        <v>/</v>
      </c>
      <c r="G313" s="220" t="str">
        <f>IF(I$284="Error","Error",IF(AND($E$284&lt;&gt;"/",$E$284&gt;Paramètres!$AX29),Paramètres!$AX30,"/"))</f>
        <v>/</v>
      </c>
      <c r="H313" s="255" t="str">
        <f>IF(G313&lt;&gt;"/",VLOOKUP(G313,COSTS_Barbarian_King[#All],2),"/")</f>
        <v>/</v>
      </c>
      <c r="I313" s="194" t="str">
        <f>IF(G313&lt;&gt;"/",VLOOKUP(G313,COSTS_Barbarian_King[#All],3),"/")</f>
        <v>/</v>
      </c>
      <c r="J313" s="255">
        <f t="shared" si="131"/>
        <v>0</v>
      </c>
      <c r="K313" s="221">
        <f t="shared" si="132"/>
        <v>0</v>
      </c>
      <c r="L313" s="266">
        <v>28</v>
      </c>
      <c r="M313" s="264" t="str">
        <f>IF(Paramètres!AT32=0,"",Paramètres!AT32)</f>
        <v/>
      </c>
      <c r="N313" s="265">
        <f t="shared" si="133"/>
        <v>0</v>
      </c>
      <c r="O313" s="217"/>
      <c r="P313" s="218"/>
      <c r="Q313" s="219" t="str">
        <f t="shared" si="135"/>
        <v>/</v>
      </c>
      <c r="R313" s="220" t="str">
        <f>IF(T$284="Error","Error",IF(AND($P$284&lt;&gt;"/",$P$284&gt;Paramètres!$AX29),Paramètres!$AX30,"/"))</f>
        <v>/</v>
      </c>
      <c r="S313" s="255" t="str">
        <f>IF(R313&lt;&gt;"/",VLOOKUP(R313,COSTS_Archer_Queen[#All],2),"/")</f>
        <v>/</v>
      </c>
      <c r="T313" s="194" t="str">
        <f>IF(R313&lt;&gt;"/",VLOOKUP(R313,COSTS_Archer_Queen[#All],3),"/")</f>
        <v>/</v>
      </c>
      <c r="U313" s="255">
        <f t="shared" si="136"/>
        <v>0</v>
      </c>
      <c r="V313" s="221">
        <f t="shared" si="137"/>
        <v>0</v>
      </c>
    </row>
    <row r="314" spans="1:22" ht="15" customHeight="1" x14ac:dyDescent="0.25">
      <c r="A314" s="266">
        <v>29</v>
      </c>
      <c r="B314" s="264" t="str">
        <f>IF(Paramètres!AS33=0,"",Paramètres!AS33)</f>
        <v/>
      </c>
      <c r="C314" s="265">
        <f t="shared" si="134"/>
        <v>0</v>
      </c>
      <c r="D314" s="217"/>
      <c r="E314" s="218"/>
      <c r="F314" s="219" t="str">
        <f t="shared" si="130"/>
        <v>/</v>
      </c>
      <c r="G314" s="220" t="str">
        <f>IF(I$284="Error","Error",IF(AND($E$284&lt;&gt;"/",$E$284&gt;Paramètres!$AX30),Paramètres!$AX31,"/"))</f>
        <v>/</v>
      </c>
      <c r="H314" s="255" t="str">
        <f>IF(G314&lt;&gt;"/",VLOOKUP(G314,COSTS_Barbarian_King[#All],2),"/")</f>
        <v>/</v>
      </c>
      <c r="I314" s="194" t="str">
        <f>IF(G314&lt;&gt;"/",VLOOKUP(G314,COSTS_Barbarian_King[#All],3),"/")</f>
        <v>/</v>
      </c>
      <c r="J314" s="255">
        <f t="shared" si="131"/>
        <v>0</v>
      </c>
      <c r="K314" s="221">
        <f t="shared" si="132"/>
        <v>0</v>
      </c>
      <c r="L314" s="266">
        <v>29</v>
      </c>
      <c r="M314" s="264" t="str">
        <f>IF(Paramètres!AT33=0,"",Paramètres!AT33)</f>
        <v/>
      </c>
      <c r="N314" s="265">
        <f t="shared" si="133"/>
        <v>0</v>
      </c>
      <c r="O314" s="217"/>
      <c r="P314" s="218"/>
      <c r="Q314" s="219" t="str">
        <f t="shared" si="135"/>
        <v>/</v>
      </c>
      <c r="R314" s="220" t="str">
        <f>IF(T$284="Error","Error",IF(AND($P$284&lt;&gt;"/",$P$284&gt;Paramètres!$AX30),Paramètres!$AX31,"/"))</f>
        <v>/</v>
      </c>
      <c r="S314" s="255" t="str">
        <f>IF(R314&lt;&gt;"/",VLOOKUP(R314,COSTS_Archer_Queen[#All],2),"/")</f>
        <v>/</v>
      </c>
      <c r="T314" s="194" t="str">
        <f>IF(R314&lt;&gt;"/",VLOOKUP(R314,COSTS_Archer_Queen[#All],3),"/")</f>
        <v>/</v>
      </c>
      <c r="U314" s="255">
        <f t="shared" si="136"/>
        <v>0</v>
      </c>
      <c r="V314" s="221">
        <f t="shared" si="137"/>
        <v>0</v>
      </c>
    </row>
    <row r="315" spans="1:22" ht="15" customHeight="1" x14ac:dyDescent="0.25">
      <c r="A315" s="266">
        <v>30</v>
      </c>
      <c r="B315" s="264" t="str">
        <f>IF(Paramètres!AS34=0,"",Paramètres!AS34)</f>
        <v/>
      </c>
      <c r="C315" s="265">
        <f t="shared" si="134"/>
        <v>0</v>
      </c>
      <c r="D315" s="217"/>
      <c r="E315" s="218"/>
      <c r="F315" s="219" t="str">
        <f t="shared" si="130"/>
        <v>/</v>
      </c>
      <c r="G315" s="220" t="str">
        <f>IF(I$284="Error","Error",IF(AND($E$284&lt;&gt;"/",$E$284&gt;Paramètres!$AX31),Paramètres!$AX32,"/"))</f>
        <v>/</v>
      </c>
      <c r="H315" s="255" t="str">
        <f>IF(G315&lt;&gt;"/",VLOOKUP(G315,COSTS_Barbarian_King[#All],2),"/")</f>
        <v>/</v>
      </c>
      <c r="I315" s="194" t="str">
        <f>IF(G315&lt;&gt;"/",VLOOKUP(G315,COSTS_Barbarian_King[#All],3),"/")</f>
        <v>/</v>
      </c>
      <c r="J315" s="255">
        <f t="shared" si="131"/>
        <v>0</v>
      </c>
      <c r="K315" s="221">
        <f t="shared" si="132"/>
        <v>0</v>
      </c>
      <c r="L315" s="266">
        <v>30</v>
      </c>
      <c r="M315" s="264" t="str">
        <f>IF(Paramètres!AT34=0,"",Paramètres!AT34)</f>
        <v/>
      </c>
      <c r="N315" s="265">
        <f t="shared" si="133"/>
        <v>0</v>
      </c>
      <c r="O315" s="217"/>
      <c r="P315" s="218"/>
      <c r="Q315" s="219" t="str">
        <f t="shared" si="135"/>
        <v>/</v>
      </c>
      <c r="R315" s="220" t="str">
        <f>IF(T$284="Error","Error",IF(AND($P$284&lt;&gt;"/",$P$284&gt;Paramètres!$AX31),Paramètres!$AX32,"/"))</f>
        <v>/</v>
      </c>
      <c r="S315" s="255" t="str">
        <f>IF(R315&lt;&gt;"/",VLOOKUP(R315,COSTS_Archer_Queen[#All],2),"/")</f>
        <v>/</v>
      </c>
      <c r="T315" s="194" t="str">
        <f>IF(R315&lt;&gt;"/",VLOOKUP(R315,COSTS_Archer_Queen[#All],3),"/")</f>
        <v>/</v>
      </c>
      <c r="U315" s="255">
        <f t="shared" si="136"/>
        <v>0</v>
      </c>
      <c r="V315" s="221">
        <f t="shared" si="137"/>
        <v>0</v>
      </c>
    </row>
    <row r="316" spans="1:22" ht="15" customHeight="1" x14ac:dyDescent="0.25">
      <c r="A316" s="266">
        <v>31</v>
      </c>
      <c r="B316" s="264" t="str">
        <f>IF(Paramètres!AS35=0,"",Paramètres!AS35)</f>
        <v/>
      </c>
      <c r="C316" s="265">
        <f t="shared" si="134"/>
        <v>0</v>
      </c>
      <c r="D316" s="217"/>
      <c r="E316" s="218"/>
      <c r="F316" s="219" t="str">
        <f t="shared" si="130"/>
        <v>/</v>
      </c>
      <c r="G316" s="220" t="str">
        <f>IF(I$284="Error","Error",IF(AND($E$284&lt;&gt;"/",$E$284&gt;Paramètres!$AX32),Paramètres!$AX33,"/"))</f>
        <v>/</v>
      </c>
      <c r="H316" s="255" t="str">
        <f>IF(G316&lt;&gt;"/",VLOOKUP(G316,COSTS_Barbarian_King[#All],2),"/")</f>
        <v>/</v>
      </c>
      <c r="I316" s="194" t="str">
        <f>IF(G316&lt;&gt;"/",VLOOKUP(G316,COSTS_Barbarian_King[#All],3),"/")</f>
        <v>/</v>
      </c>
      <c r="J316" s="255">
        <f t="shared" si="131"/>
        <v>0</v>
      </c>
      <c r="K316" s="221">
        <f t="shared" si="132"/>
        <v>0</v>
      </c>
      <c r="L316" s="266">
        <v>31</v>
      </c>
      <c r="M316" s="264" t="str">
        <f>IF(Paramètres!AT35=0,"",Paramètres!AT35)</f>
        <v/>
      </c>
      <c r="N316" s="265">
        <f t="shared" si="133"/>
        <v>0</v>
      </c>
      <c r="O316" s="217"/>
      <c r="P316" s="218"/>
      <c r="Q316" s="219" t="str">
        <f t="shared" si="135"/>
        <v>/</v>
      </c>
      <c r="R316" s="220" t="str">
        <f>IF(T$284="Error","Error",IF(AND($P$284&lt;&gt;"/",$P$284&gt;Paramètres!$AX32),Paramètres!$AX33,"/"))</f>
        <v>/</v>
      </c>
      <c r="S316" s="255" t="str">
        <f>IF(R316&lt;&gt;"/",VLOOKUP(R316,COSTS_Archer_Queen[#All],2),"/")</f>
        <v>/</v>
      </c>
      <c r="T316" s="194" t="str">
        <f>IF(R316&lt;&gt;"/",VLOOKUP(R316,COSTS_Archer_Queen[#All],3),"/")</f>
        <v>/</v>
      </c>
      <c r="U316" s="255">
        <f t="shared" si="136"/>
        <v>0</v>
      </c>
      <c r="V316" s="221">
        <f t="shared" si="137"/>
        <v>0</v>
      </c>
    </row>
    <row r="317" spans="1:22" ht="15" customHeight="1" x14ac:dyDescent="0.25">
      <c r="A317" s="266">
        <v>32</v>
      </c>
      <c r="B317" s="264" t="str">
        <f>IF(Paramètres!AS36=0,"",Paramètres!AS36)</f>
        <v/>
      </c>
      <c r="C317" s="265">
        <f t="shared" si="134"/>
        <v>0</v>
      </c>
      <c r="D317" s="217"/>
      <c r="E317" s="218"/>
      <c r="F317" s="219" t="str">
        <f t="shared" si="130"/>
        <v>/</v>
      </c>
      <c r="G317" s="220" t="str">
        <f>IF(I$284="Error","Error",IF(AND($E$284&lt;&gt;"/",$E$284&gt;Paramètres!$AX33),Paramètres!$AX34,"/"))</f>
        <v>/</v>
      </c>
      <c r="H317" s="255" t="str">
        <f>IF(G317&lt;&gt;"/",VLOOKUP(G317,COSTS_Barbarian_King[#All],2),"/")</f>
        <v>/</v>
      </c>
      <c r="I317" s="194" t="str">
        <f>IF(G317&lt;&gt;"/",VLOOKUP(G317,COSTS_Barbarian_King[#All],3),"/")</f>
        <v>/</v>
      </c>
      <c r="J317" s="255">
        <f t="shared" si="131"/>
        <v>0</v>
      </c>
      <c r="K317" s="221">
        <f t="shared" si="132"/>
        <v>0</v>
      </c>
      <c r="L317" s="266">
        <v>32</v>
      </c>
      <c r="M317" s="264" t="str">
        <f>IF(Paramètres!AT36=0,"",Paramètres!AT36)</f>
        <v/>
      </c>
      <c r="N317" s="265">
        <f t="shared" si="133"/>
        <v>0</v>
      </c>
      <c r="O317" s="217"/>
      <c r="P317" s="218"/>
      <c r="Q317" s="219" t="str">
        <f t="shared" si="135"/>
        <v>/</v>
      </c>
      <c r="R317" s="220" t="str">
        <f>IF(T$284="Error","Error",IF(AND($P$284&lt;&gt;"/",$P$284&gt;Paramètres!$AX33),Paramètres!$AX34,"/"))</f>
        <v>/</v>
      </c>
      <c r="S317" s="255" t="str">
        <f>IF(R317&lt;&gt;"/",VLOOKUP(R317,COSTS_Archer_Queen[#All],2),"/")</f>
        <v>/</v>
      </c>
      <c r="T317" s="194" t="str">
        <f>IF(R317&lt;&gt;"/",VLOOKUP(R317,COSTS_Archer_Queen[#All],3),"/")</f>
        <v>/</v>
      </c>
      <c r="U317" s="255">
        <f t="shared" si="136"/>
        <v>0</v>
      </c>
      <c r="V317" s="221">
        <f t="shared" si="137"/>
        <v>0</v>
      </c>
    </row>
    <row r="318" spans="1:22" ht="15" customHeight="1" x14ac:dyDescent="0.25">
      <c r="A318" s="266">
        <v>33</v>
      </c>
      <c r="B318" s="264" t="str">
        <f>IF(Paramètres!AS37=0,"",Paramètres!AS37)</f>
        <v/>
      </c>
      <c r="C318" s="265">
        <f t="shared" si="134"/>
        <v>0</v>
      </c>
      <c r="D318" s="217"/>
      <c r="E318" s="218"/>
      <c r="F318" s="219" t="str">
        <f t="shared" si="130"/>
        <v>/</v>
      </c>
      <c r="G318" s="220" t="str">
        <f>IF(I$284="Error","Error",IF(AND($E$284&lt;&gt;"/",$E$284&gt;Paramètres!$AX34),Paramètres!$AX35,"/"))</f>
        <v>/</v>
      </c>
      <c r="H318" s="255" t="str">
        <f>IF(G318&lt;&gt;"/",VLOOKUP(G318,COSTS_Barbarian_King[#All],2),"/")</f>
        <v>/</v>
      </c>
      <c r="I318" s="194" t="str">
        <f>IF(G318&lt;&gt;"/",VLOOKUP(G318,COSTS_Barbarian_King[#All],3),"/")</f>
        <v>/</v>
      </c>
      <c r="J318" s="255">
        <f t="shared" si="131"/>
        <v>0</v>
      </c>
      <c r="K318" s="221">
        <f t="shared" si="132"/>
        <v>0</v>
      </c>
      <c r="L318" s="266">
        <v>33</v>
      </c>
      <c r="M318" s="264" t="str">
        <f>IF(Paramètres!AT37=0,"",Paramètres!AT37)</f>
        <v/>
      </c>
      <c r="N318" s="265">
        <f t="shared" si="133"/>
        <v>0</v>
      </c>
      <c r="O318" s="217"/>
      <c r="P318" s="218"/>
      <c r="Q318" s="219" t="str">
        <f t="shared" si="135"/>
        <v>/</v>
      </c>
      <c r="R318" s="220" t="str">
        <f>IF(T$284="Error","Error",IF(AND($P$284&lt;&gt;"/",$P$284&gt;Paramètres!$AX34),Paramètres!$AX35,"/"))</f>
        <v>/</v>
      </c>
      <c r="S318" s="255" t="str">
        <f>IF(R318&lt;&gt;"/",VLOOKUP(R318,COSTS_Archer_Queen[#All],2),"/")</f>
        <v>/</v>
      </c>
      <c r="T318" s="194" t="str">
        <f>IF(R318&lt;&gt;"/",VLOOKUP(R318,COSTS_Archer_Queen[#All],3),"/")</f>
        <v>/</v>
      </c>
      <c r="U318" s="255">
        <f t="shared" si="136"/>
        <v>0</v>
      </c>
      <c r="V318" s="221">
        <f t="shared" si="137"/>
        <v>0</v>
      </c>
    </row>
    <row r="319" spans="1:22" ht="15" customHeight="1" x14ac:dyDescent="0.25">
      <c r="A319" s="266">
        <v>34</v>
      </c>
      <c r="B319" s="264" t="str">
        <f>IF(Paramètres!AS38=0,"",Paramètres!AS38)</f>
        <v/>
      </c>
      <c r="C319" s="265">
        <f t="shared" si="134"/>
        <v>0</v>
      </c>
      <c r="D319" s="217"/>
      <c r="E319" s="218"/>
      <c r="F319" s="219" t="str">
        <f t="shared" si="130"/>
        <v>/</v>
      </c>
      <c r="G319" s="220" t="str">
        <f>IF(I$284="Error","Error",IF(AND($E$284&lt;&gt;"/",$E$284&gt;Paramètres!$AX35),Paramètres!$AX36,"/"))</f>
        <v>/</v>
      </c>
      <c r="H319" s="255" t="str">
        <f>IF(G319&lt;&gt;"/",VLOOKUP(G319,COSTS_Barbarian_King[#All],2),"/")</f>
        <v>/</v>
      </c>
      <c r="I319" s="194" t="str">
        <f>IF(G319&lt;&gt;"/",VLOOKUP(G319,COSTS_Barbarian_King[#All],3),"/")</f>
        <v>/</v>
      </c>
      <c r="J319" s="255">
        <f t="shared" si="131"/>
        <v>0</v>
      </c>
      <c r="K319" s="221">
        <f t="shared" si="132"/>
        <v>0</v>
      </c>
      <c r="L319" s="266">
        <v>34</v>
      </c>
      <c r="M319" s="264" t="str">
        <f>IF(Paramètres!AT38=0,"",Paramètres!AT38)</f>
        <v/>
      </c>
      <c r="N319" s="265">
        <f t="shared" si="133"/>
        <v>0</v>
      </c>
      <c r="O319" s="217"/>
      <c r="P319" s="218"/>
      <c r="Q319" s="219" t="str">
        <f t="shared" si="135"/>
        <v>/</v>
      </c>
      <c r="R319" s="220" t="str">
        <f>IF(T$284="Error","Error",IF(AND($P$284&lt;&gt;"/",$P$284&gt;Paramètres!$AX35),Paramètres!$AX36,"/"))</f>
        <v>/</v>
      </c>
      <c r="S319" s="255" t="str">
        <f>IF(R319&lt;&gt;"/",VLOOKUP(R319,COSTS_Archer_Queen[#All],2),"/")</f>
        <v>/</v>
      </c>
      <c r="T319" s="194" t="str">
        <f>IF(R319&lt;&gt;"/",VLOOKUP(R319,COSTS_Archer_Queen[#All],3),"/")</f>
        <v>/</v>
      </c>
      <c r="U319" s="255">
        <f t="shared" si="136"/>
        <v>0</v>
      </c>
      <c r="V319" s="221">
        <f t="shared" si="137"/>
        <v>0</v>
      </c>
    </row>
    <row r="320" spans="1:22" ht="15" customHeight="1" x14ac:dyDescent="0.25">
      <c r="A320" s="266">
        <v>35</v>
      </c>
      <c r="B320" s="264" t="str">
        <f>IF(Paramètres!AS39=0,"",Paramètres!AS39)</f>
        <v/>
      </c>
      <c r="C320" s="265">
        <f t="shared" si="134"/>
        <v>0</v>
      </c>
      <c r="D320" s="217"/>
      <c r="E320" s="218"/>
      <c r="F320" s="219" t="str">
        <f t="shared" si="130"/>
        <v>/</v>
      </c>
      <c r="G320" s="220" t="str">
        <f>IF(I$284="Error","Error",IF(AND($E$284&lt;&gt;"/",$E$284&gt;Paramètres!$AX36),Paramètres!$AX37,"/"))</f>
        <v>/</v>
      </c>
      <c r="H320" s="255" t="str">
        <f>IF(G320&lt;&gt;"/",VLOOKUP(G320,COSTS_Barbarian_King[#All],2),"/")</f>
        <v>/</v>
      </c>
      <c r="I320" s="194" t="str">
        <f>IF(G320&lt;&gt;"/",VLOOKUP(G320,COSTS_Barbarian_King[#All],3),"/")</f>
        <v>/</v>
      </c>
      <c r="J320" s="255">
        <f t="shared" si="131"/>
        <v>0</v>
      </c>
      <c r="K320" s="221">
        <f t="shared" si="132"/>
        <v>0</v>
      </c>
      <c r="L320" s="266">
        <v>35</v>
      </c>
      <c r="M320" s="264" t="str">
        <f>IF(Paramètres!AT39=0,"",Paramètres!AT39)</f>
        <v/>
      </c>
      <c r="N320" s="265">
        <f t="shared" si="133"/>
        <v>0</v>
      </c>
      <c r="O320" s="217"/>
      <c r="P320" s="218"/>
      <c r="Q320" s="219" t="str">
        <f t="shared" si="135"/>
        <v>/</v>
      </c>
      <c r="R320" s="220" t="str">
        <f>IF(T$284="Error","Error",IF(AND($P$284&lt;&gt;"/",$P$284&gt;Paramètres!$AX36),Paramètres!$AX37,"/"))</f>
        <v>/</v>
      </c>
      <c r="S320" s="255" t="str">
        <f>IF(R320&lt;&gt;"/",VLOOKUP(R320,COSTS_Archer_Queen[#All],2),"/")</f>
        <v>/</v>
      </c>
      <c r="T320" s="194" t="str">
        <f>IF(R320&lt;&gt;"/",VLOOKUP(R320,COSTS_Archer_Queen[#All],3),"/")</f>
        <v>/</v>
      </c>
      <c r="U320" s="255">
        <f t="shared" si="136"/>
        <v>0</v>
      </c>
      <c r="V320" s="221">
        <f t="shared" si="137"/>
        <v>0</v>
      </c>
    </row>
    <row r="321" spans="1:22" ht="15" customHeight="1" x14ac:dyDescent="0.25">
      <c r="A321" s="266">
        <v>36</v>
      </c>
      <c r="B321" s="264" t="str">
        <f>IF(Paramètres!AS40=0,"",Paramètres!AS40)</f>
        <v/>
      </c>
      <c r="C321" s="265">
        <f t="shared" si="134"/>
        <v>0</v>
      </c>
      <c r="D321" s="217"/>
      <c r="E321" s="218"/>
      <c r="F321" s="219" t="str">
        <f t="shared" si="130"/>
        <v>/</v>
      </c>
      <c r="G321" s="220" t="str">
        <f>IF(I$284="Error","Error",IF(AND($E$284&lt;&gt;"/",$E$284&gt;Paramètres!$AX37),Paramètres!$AX38,"/"))</f>
        <v>/</v>
      </c>
      <c r="H321" s="255" t="str">
        <f>IF(G321&lt;&gt;"/",VLOOKUP(G321,COSTS_Barbarian_King[#All],2),"/")</f>
        <v>/</v>
      </c>
      <c r="I321" s="194" t="str">
        <f>IF(G321&lt;&gt;"/",VLOOKUP(G321,COSTS_Barbarian_King[#All],3),"/")</f>
        <v>/</v>
      </c>
      <c r="J321" s="255">
        <f t="shared" si="131"/>
        <v>0</v>
      </c>
      <c r="K321" s="221">
        <f t="shared" si="132"/>
        <v>0</v>
      </c>
      <c r="L321" s="266">
        <v>36</v>
      </c>
      <c r="M321" s="264" t="str">
        <f>IF(Paramètres!AT40=0,"",Paramètres!AT40)</f>
        <v/>
      </c>
      <c r="N321" s="265">
        <f t="shared" si="133"/>
        <v>0</v>
      </c>
      <c r="O321" s="217"/>
      <c r="P321" s="218"/>
      <c r="Q321" s="219" t="str">
        <f t="shared" si="135"/>
        <v>/</v>
      </c>
      <c r="R321" s="220" t="str">
        <f>IF(T$284="Error","Error",IF(AND($P$284&lt;&gt;"/",$P$284&gt;Paramètres!$AX37),Paramètres!$AX38,"/"))</f>
        <v>/</v>
      </c>
      <c r="S321" s="255" t="str">
        <f>IF(R321&lt;&gt;"/",VLOOKUP(R321,COSTS_Archer_Queen[#All],2),"/")</f>
        <v>/</v>
      </c>
      <c r="T321" s="194" t="str">
        <f>IF(R321&lt;&gt;"/",VLOOKUP(R321,COSTS_Archer_Queen[#All],3),"/")</f>
        <v>/</v>
      </c>
      <c r="U321" s="255">
        <f t="shared" si="136"/>
        <v>0</v>
      </c>
      <c r="V321" s="221">
        <f t="shared" si="137"/>
        <v>0</v>
      </c>
    </row>
    <row r="322" spans="1:22" ht="15" customHeight="1" x14ac:dyDescent="0.25">
      <c r="A322" s="266">
        <v>37</v>
      </c>
      <c r="B322" s="264" t="str">
        <f>IF(Paramètres!AS41=0,"",Paramètres!AS41)</f>
        <v/>
      </c>
      <c r="C322" s="265">
        <f t="shared" si="134"/>
        <v>0</v>
      </c>
      <c r="D322" s="217"/>
      <c r="E322" s="218"/>
      <c r="F322" s="219" t="str">
        <f t="shared" si="130"/>
        <v>/</v>
      </c>
      <c r="G322" s="220" t="str">
        <f>IF(I$284="Error","Error",IF(AND($E$284&lt;&gt;"/",$E$284&gt;Paramètres!$AX38),Paramètres!$AX39,"/"))</f>
        <v>/</v>
      </c>
      <c r="H322" s="255" t="str">
        <f>IF(G322&lt;&gt;"/",VLOOKUP(G322,COSTS_Barbarian_King[#All],2),"/")</f>
        <v>/</v>
      </c>
      <c r="I322" s="194" t="str">
        <f>IF(G322&lt;&gt;"/",VLOOKUP(G322,COSTS_Barbarian_King[#All],3),"/")</f>
        <v>/</v>
      </c>
      <c r="J322" s="255">
        <f t="shared" si="131"/>
        <v>0</v>
      </c>
      <c r="K322" s="221">
        <f t="shared" si="132"/>
        <v>0</v>
      </c>
      <c r="L322" s="266">
        <v>37</v>
      </c>
      <c r="M322" s="264" t="str">
        <f>IF(Paramètres!AT41=0,"",Paramètres!AT41)</f>
        <v/>
      </c>
      <c r="N322" s="265">
        <f t="shared" si="133"/>
        <v>0</v>
      </c>
      <c r="O322" s="217"/>
      <c r="P322" s="218"/>
      <c r="Q322" s="219" t="str">
        <f t="shared" si="135"/>
        <v>/</v>
      </c>
      <c r="R322" s="220" t="str">
        <f>IF(T$284="Error","Error",IF(AND($P$284&lt;&gt;"/",$P$284&gt;Paramètres!$AX38),Paramètres!$AX39,"/"))</f>
        <v>/</v>
      </c>
      <c r="S322" s="255" t="str">
        <f>IF(R322&lt;&gt;"/",VLOOKUP(R322,COSTS_Archer_Queen[#All],2),"/")</f>
        <v>/</v>
      </c>
      <c r="T322" s="194" t="str">
        <f>IF(R322&lt;&gt;"/",VLOOKUP(R322,COSTS_Archer_Queen[#All],3),"/")</f>
        <v>/</v>
      </c>
      <c r="U322" s="255">
        <f t="shared" si="136"/>
        <v>0</v>
      </c>
      <c r="V322" s="221">
        <f t="shared" si="137"/>
        <v>0</v>
      </c>
    </row>
    <row r="323" spans="1:22" ht="15" customHeight="1" x14ac:dyDescent="0.25">
      <c r="A323" s="266">
        <v>38</v>
      </c>
      <c r="B323" s="264" t="str">
        <f>IF(Paramètres!AS42=0,"",Paramètres!AS42)</f>
        <v/>
      </c>
      <c r="C323" s="265">
        <f t="shared" si="134"/>
        <v>0</v>
      </c>
      <c r="D323" s="217"/>
      <c r="E323" s="218"/>
      <c r="F323" s="219" t="str">
        <f t="shared" si="130"/>
        <v>/</v>
      </c>
      <c r="G323" s="220" t="str">
        <f>IF(I$284="Error","Error",IF(AND($E$284&lt;&gt;"/",$E$284&gt;Paramètres!$AX39),Paramètres!$AX40,"/"))</f>
        <v>/</v>
      </c>
      <c r="H323" s="255" t="str">
        <f>IF(G323&lt;&gt;"/",VLOOKUP(G323,COSTS_Barbarian_King[#All],2),"/")</f>
        <v>/</v>
      </c>
      <c r="I323" s="194" t="str">
        <f>IF(G323&lt;&gt;"/",VLOOKUP(G323,COSTS_Barbarian_King[#All],3),"/")</f>
        <v>/</v>
      </c>
      <c r="J323" s="255">
        <f t="shared" si="131"/>
        <v>0</v>
      </c>
      <c r="K323" s="221">
        <f t="shared" si="132"/>
        <v>0</v>
      </c>
      <c r="L323" s="266">
        <v>38</v>
      </c>
      <c r="M323" s="264" t="str">
        <f>IF(Paramètres!AT42=0,"",Paramètres!AT42)</f>
        <v/>
      </c>
      <c r="N323" s="265">
        <f t="shared" si="133"/>
        <v>0</v>
      </c>
      <c r="O323" s="217"/>
      <c r="P323" s="218"/>
      <c r="Q323" s="219" t="str">
        <f t="shared" si="135"/>
        <v>/</v>
      </c>
      <c r="R323" s="220" t="str">
        <f>IF(T$284="Error","Error",IF(AND($P$284&lt;&gt;"/",$P$284&gt;Paramètres!$AX39),Paramètres!$AX40,"/"))</f>
        <v>/</v>
      </c>
      <c r="S323" s="255" t="str">
        <f>IF(R323&lt;&gt;"/",VLOOKUP(R323,COSTS_Archer_Queen[#All],2),"/")</f>
        <v>/</v>
      </c>
      <c r="T323" s="194" t="str">
        <f>IF(R323&lt;&gt;"/",VLOOKUP(R323,COSTS_Archer_Queen[#All],3),"/")</f>
        <v>/</v>
      </c>
      <c r="U323" s="255">
        <f t="shared" si="136"/>
        <v>0</v>
      </c>
      <c r="V323" s="221">
        <f t="shared" si="137"/>
        <v>0</v>
      </c>
    </row>
    <row r="324" spans="1:22" ht="15" customHeight="1" x14ac:dyDescent="0.25">
      <c r="A324" s="266">
        <v>39</v>
      </c>
      <c r="B324" s="264" t="str">
        <f>IF(Paramètres!AS43=0,"",Paramètres!AS43)</f>
        <v/>
      </c>
      <c r="C324" s="265">
        <f t="shared" si="134"/>
        <v>0</v>
      </c>
      <c r="D324" s="217"/>
      <c r="E324" s="218"/>
      <c r="F324" s="219" t="str">
        <f t="shared" si="130"/>
        <v>/</v>
      </c>
      <c r="G324" s="220" t="str">
        <f>IF(I$284="Error","Error",IF(AND($E$284&lt;&gt;"/",$E$284&gt;Paramètres!$AX40),Paramètres!$AX41,"/"))</f>
        <v>/</v>
      </c>
      <c r="H324" s="255" t="str">
        <f>IF(G324&lt;&gt;"/",VLOOKUP(G324,COSTS_Barbarian_King[#All],2),"/")</f>
        <v>/</v>
      </c>
      <c r="I324" s="194" t="str">
        <f>IF(G324&lt;&gt;"/",VLOOKUP(G324,COSTS_Barbarian_King[#All],3),"/")</f>
        <v>/</v>
      </c>
      <c r="J324" s="255">
        <f t="shared" si="131"/>
        <v>0</v>
      </c>
      <c r="K324" s="221">
        <f t="shared" si="132"/>
        <v>0</v>
      </c>
      <c r="L324" s="266">
        <v>39</v>
      </c>
      <c r="M324" s="264" t="str">
        <f>IF(Paramètres!AT43=0,"",Paramètres!AT43)</f>
        <v/>
      </c>
      <c r="N324" s="265">
        <f t="shared" si="133"/>
        <v>0</v>
      </c>
      <c r="O324" s="217"/>
      <c r="P324" s="218"/>
      <c r="Q324" s="219" t="str">
        <f t="shared" si="135"/>
        <v>/</v>
      </c>
      <c r="R324" s="220" t="str">
        <f>IF(T$284="Error","Error",IF(AND($P$284&lt;&gt;"/",$P$284&gt;Paramètres!$AX40),Paramètres!$AX41,"/"))</f>
        <v>/</v>
      </c>
      <c r="S324" s="255" t="str">
        <f>IF(R324&lt;&gt;"/",VLOOKUP(R324,COSTS_Archer_Queen[#All],2),"/")</f>
        <v>/</v>
      </c>
      <c r="T324" s="194" t="str">
        <f>IF(R324&lt;&gt;"/",VLOOKUP(R324,COSTS_Archer_Queen[#All],3),"/")</f>
        <v>/</v>
      </c>
      <c r="U324" s="255">
        <f t="shared" si="136"/>
        <v>0</v>
      </c>
      <c r="V324" s="221">
        <f t="shared" si="137"/>
        <v>0</v>
      </c>
    </row>
    <row r="325" spans="1:22" ht="15" customHeight="1" thickBot="1" x14ac:dyDescent="0.3">
      <c r="A325" s="266">
        <v>40</v>
      </c>
      <c r="B325" s="264" t="str">
        <f>IF(Paramètres!AS44=0,"",Paramètres!AS44)</f>
        <v/>
      </c>
      <c r="C325" s="265">
        <f t="shared" si="134"/>
        <v>0</v>
      </c>
      <c r="D325" s="217"/>
      <c r="E325" s="218"/>
      <c r="F325" s="219" t="str">
        <f t="shared" si="130"/>
        <v>/</v>
      </c>
      <c r="G325" s="220" t="str">
        <f>IF(I$284="Error","Error",IF(AND($E$284&lt;&gt;"/",$E$284&gt;Paramètres!$AX41),Paramètres!$AX42,"/"))</f>
        <v>/</v>
      </c>
      <c r="H325" s="255" t="str">
        <f>IF(G325&lt;&gt;"/",VLOOKUP(G325,COSTS_Barbarian_King[#All],2),"/")</f>
        <v>/</v>
      </c>
      <c r="I325" s="194" t="str">
        <f>IF(G325&lt;&gt;"/",VLOOKUP(G325,COSTS_Barbarian_King[#All],3),"/")</f>
        <v>/</v>
      </c>
      <c r="J325" s="255">
        <f t="shared" si="131"/>
        <v>0</v>
      </c>
      <c r="K325" s="221">
        <f t="shared" si="132"/>
        <v>0</v>
      </c>
      <c r="L325" s="266">
        <v>40</v>
      </c>
      <c r="M325" s="264" t="str">
        <f>IF(Paramètres!AT44=0,"",Paramètres!AT44)</f>
        <v/>
      </c>
      <c r="N325" s="265">
        <f t="shared" si="133"/>
        <v>0</v>
      </c>
      <c r="O325" s="217"/>
      <c r="P325" s="218"/>
      <c r="Q325" s="219" t="str">
        <f t="shared" si="135"/>
        <v>/</v>
      </c>
      <c r="R325" s="220" t="str">
        <f>IF(T$284="Error","Error",IF(AND($P$284&lt;&gt;"/",$P$284&gt;Paramètres!$AX41),Paramètres!$AX42,"/"))</f>
        <v>/</v>
      </c>
      <c r="S325" s="255" t="str">
        <f>IF(R325&lt;&gt;"/",VLOOKUP(R325,COSTS_Archer_Queen[#All],2),"/")</f>
        <v>/</v>
      </c>
      <c r="T325" s="194" t="str">
        <f>IF(R325&lt;&gt;"/",VLOOKUP(R325,COSTS_Archer_Queen[#All],3),"/")</f>
        <v>/</v>
      </c>
      <c r="U325" s="255">
        <f t="shared" si="136"/>
        <v>0</v>
      </c>
      <c r="V325" s="221">
        <f t="shared" si="137"/>
        <v>0</v>
      </c>
    </row>
    <row r="326" spans="1:22" ht="15" customHeight="1" thickBot="1" x14ac:dyDescent="0.3">
      <c r="A326" s="420"/>
      <c r="B326" s="421"/>
      <c r="C326" s="421"/>
      <c r="D326" s="421"/>
      <c r="E326" s="421"/>
      <c r="F326" s="421"/>
      <c r="G326" s="421"/>
      <c r="H326" s="424"/>
      <c r="I326" s="248" t="s">
        <v>15</v>
      </c>
      <c r="J326" s="274">
        <f>IF(I$284="Error","Error",SUM(J286:J325))</f>
        <v>75000</v>
      </c>
      <c r="K326" s="250">
        <f>IF(I$284="Error","Error",SUM(K286:K325))</f>
        <v>120</v>
      </c>
      <c r="L326" s="420"/>
      <c r="M326" s="421"/>
      <c r="N326" s="421"/>
      <c r="O326" s="421"/>
      <c r="P326" s="421"/>
      <c r="Q326" s="421"/>
      <c r="R326" s="421"/>
      <c r="S326" s="424"/>
      <c r="T326" s="248" t="s">
        <v>15</v>
      </c>
      <c r="U326" s="274">
        <f>IF(T$284="Error","Error",SUM(U286:U325))</f>
        <v>0</v>
      </c>
      <c r="V326" s="250">
        <f>IF(T$284="Error","Error",SUM(V286:V325))</f>
        <v>0</v>
      </c>
    </row>
  </sheetData>
  <sheetProtection formatCells="0" formatColumns="0" formatRows="0" sort="0" autoFilter="0"/>
  <mergeCells count="112">
    <mergeCell ref="A228:H228"/>
    <mergeCell ref="A72:H72"/>
    <mergeCell ref="A81:C82"/>
    <mergeCell ref="A92:H92"/>
    <mergeCell ref="A156:V156"/>
    <mergeCell ref="A157:V157"/>
    <mergeCell ref="A207:V207"/>
    <mergeCell ref="A1:B2"/>
    <mergeCell ref="F1:H2"/>
    <mergeCell ref="C1:E2"/>
    <mergeCell ref="I1:J2"/>
    <mergeCell ref="K1:M2"/>
    <mergeCell ref="N1:Q1"/>
    <mergeCell ref="N2:Q2"/>
    <mergeCell ref="U1:V2"/>
    <mergeCell ref="A208:V208"/>
    <mergeCell ref="A209:C210"/>
    <mergeCell ref="A218:H218"/>
    <mergeCell ref="A219:C220"/>
    <mergeCell ref="A195:H195"/>
    <mergeCell ref="A196:C197"/>
    <mergeCell ref="A204:H204"/>
    <mergeCell ref="L176:N177"/>
    <mergeCell ref="L181:S181"/>
    <mergeCell ref="A281:V281"/>
    <mergeCell ref="L236:N237"/>
    <mergeCell ref="L243:S243"/>
    <mergeCell ref="L244:N245"/>
    <mergeCell ref="L251:S251"/>
    <mergeCell ref="A229:C230"/>
    <mergeCell ref="A237:H237"/>
    <mergeCell ref="A238:C239"/>
    <mergeCell ref="A247:H247"/>
    <mergeCell ref="A248:C249"/>
    <mergeCell ref="A282:V282"/>
    <mergeCell ref="A283:C284"/>
    <mergeCell ref="A326:H326"/>
    <mergeCell ref="L283:N284"/>
    <mergeCell ref="L326:S326"/>
    <mergeCell ref="L182:N183"/>
    <mergeCell ref="L187:S187"/>
    <mergeCell ref="A259:V259"/>
    <mergeCell ref="A260:V260"/>
    <mergeCell ref="A261:C262"/>
    <mergeCell ref="A269:H269"/>
    <mergeCell ref="A270:C271"/>
    <mergeCell ref="A278:H278"/>
    <mergeCell ref="L261:N262"/>
    <mergeCell ref="L268:S268"/>
    <mergeCell ref="L269:N270"/>
    <mergeCell ref="L277:S277"/>
    <mergeCell ref="A256:H256"/>
    <mergeCell ref="L209:N210"/>
    <mergeCell ref="L218:S218"/>
    <mergeCell ref="L219:N220"/>
    <mergeCell ref="L227:S227"/>
    <mergeCell ref="L228:N229"/>
    <mergeCell ref="L235:S235"/>
    <mergeCell ref="A176:C177"/>
    <mergeCell ref="A185:H185"/>
    <mergeCell ref="A186:C187"/>
    <mergeCell ref="A174:V174"/>
    <mergeCell ref="A175:V175"/>
    <mergeCell ref="A4:K4"/>
    <mergeCell ref="A30:C31"/>
    <mergeCell ref="A44:H44"/>
    <mergeCell ref="A45:C46"/>
    <mergeCell ref="A54:H54"/>
    <mergeCell ref="A20:C21"/>
    <mergeCell ref="A111:H111"/>
    <mergeCell ref="A153:H153"/>
    <mergeCell ref="A128:C129"/>
    <mergeCell ref="A142:H142"/>
    <mergeCell ref="A143:C144"/>
    <mergeCell ref="A57:V57"/>
    <mergeCell ref="A58:V58"/>
    <mergeCell ref="L144:S144"/>
    <mergeCell ref="L131:N132"/>
    <mergeCell ref="A127:H127"/>
    <mergeCell ref="L138:S138"/>
    <mergeCell ref="A166:H166"/>
    <mergeCell ref="L158:N159"/>
    <mergeCell ref="L171:S171"/>
    <mergeCell ref="L59:N60"/>
    <mergeCell ref="L70:S70"/>
    <mergeCell ref="L71:N72"/>
    <mergeCell ref="L130:S130"/>
    <mergeCell ref="A112:C113"/>
    <mergeCell ref="L97:N98"/>
    <mergeCell ref="A96:V96"/>
    <mergeCell ref="A73:C74"/>
    <mergeCell ref="L79:S79"/>
    <mergeCell ref="A80:H80"/>
    <mergeCell ref="A59:C60"/>
    <mergeCell ref="A95:V95"/>
    <mergeCell ref="A97:C98"/>
    <mergeCell ref="A3:V3"/>
    <mergeCell ref="L139:N140"/>
    <mergeCell ref="L108:S108"/>
    <mergeCell ref="L109:N110"/>
    <mergeCell ref="L119:S119"/>
    <mergeCell ref="L120:N121"/>
    <mergeCell ref="R1:T2"/>
    <mergeCell ref="L34:S34"/>
    <mergeCell ref="A158:C159"/>
    <mergeCell ref="L4:V4"/>
    <mergeCell ref="A29:H29"/>
    <mergeCell ref="A5:C6"/>
    <mergeCell ref="L5:N6"/>
    <mergeCell ref="A19:H19"/>
    <mergeCell ref="L19:S19"/>
    <mergeCell ref="L20:N21"/>
  </mergeCells>
  <conditionalFormatting sqref="J1:K4 J31:K31 J6:K21 J60:K60 J74:K74 J82:K82 J46:K46 J23:K29 J33:K44 J48:K58 J62:K72 J76:K80 J84:K96 J100:K111 J115:K127 J131:K142 J146:K157 J161:K174 J179:K185 J189:K195 J222:K228 J212:K218 J232:K237 J241:K247 J251:K260 J264:K269 J273:K282 J286:K1048576 J98:K98 J113:K113 J129:K129 J144:K144 J159:K159 J177:K177 J187:K187 J197:K207 J210:K210 J220:K220 J230:K230 J239:K239 J249:K249 J262:K262 J271:K271 J284:K284">
    <cfRule type="expression" dxfId="703" priority="94">
      <formula>AND($J1=0,$K1=0,$J1&lt;&gt;"",$J2&lt;&gt;"Total Cost")</formula>
    </cfRule>
  </conditionalFormatting>
  <conditionalFormatting sqref="N2">
    <cfRule type="expression" dxfId="702" priority="108">
      <formula>AND($Q1&lt;&gt;"",OR($Q1=0,$Q1="/"))</formula>
    </cfRule>
  </conditionalFormatting>
  <conditionalFormatting sqref="U1:V4 U21:V21 U6:V6 U60:V60 U72:V72 U8:V19 U23:V58 U62:V70 U74:V96 U100:V108 U112:V119 U123:V130 U142:V157 U134:V138 U161:V174 U179:V181 U185:V207 U222:V227 U212:V218 U231:V235 U239:V243 U247:V260 U264:V268 U272:V282 U286:V1048576 U98:V98 U110:V110 U121:V121 U140:V140 U132:V132 U159:V159 U177:V177 U183:V183 U210:V210 U220:V220 U229:V229 U237:V237 U245:V245 U262:V262 U270:V270 U284:V284">
    <cfRule type="expression" dxfId="701" priority="93">
      <formula>AND($U1=0,$V1=0,$U1&lt;&gt;"",$U2&lt;&gt;"Total Cost")</formula>
    </cfRule>
    <cfRule type="expression" dxfId="700" priority="123">
      <formula>AND($Q1&lt;&gt;"",OR($Q1=0,$Q1="/"))</formula>
    </cfRule>
  </conditionalFormatting>
  <conditionalFormatting sqref="J30:K30">
    <cfRule type="expression" dxfId="699" priority="90">
      <formula>AND($J30=0,$K30=0,$J30&lt;&gt;"",$J31&lt;&gt;"Total Cost")</formula>
    </cfRule>
  </conditionalFormatting>
  <conditionalFormatting sqref="U20:V20">
    <cfRule type="expression" dxfId="698" priority="89">
      <formula>AND($J20=0,$K20=0,$J20&lt;&gt;"",$J21&lt;&gt;"Total Cost")</formula>
    </cfRule>
  </conditionalFormatting>
  <conditionalFormatting sqref="U5:V5">
    <cfRule type="expression" dxfId="697" priority="88">
      <formula>AND($J5=0,$K5=0,$J5&lt;&gt;"",$J6&lt;&gt;"Total Cost")</formula>
    </cfRule>
  </conditionalFormatting>
  <conditionalFormatting sqref="J5:K5">
    <cfRule type="expression" dxfId="696" priority="87">
      <formula>AND($J5=0,$K5=0,$J5&lt;&gt;"",$J6&lt;&gt;"Total Cost")</formula>
    </cfRule>
  </conditionalFormatting>
  <conditionalFormatting sqref="J59:K59">
    <cfRule type="expression" dxfId="695" priority="86">
      <formula>AND($J59=0,$K59=0,$J59&lt;&gt;"",$J60&lt;&gt;"Total Cost")</formula>
    </cfRule>
  </conditionalFormatting>
  <conditionalFormatting sqref="U59:V59">
    <cfRule type="expression" dxfId="694" priority="85">
      <formula>AND($J59=0,$K59=0,$J59&lt;&gt;"",$J60&lt;&gt;"Total Cost")</formula>
    </cfRule>
  </conditionalFormatting>
  <conditionalFormatting sqref="U71:V71">
    <cfRule type="expression" dxfId="693" priority="84">
      <formula>AND($J71=0,$K71=0,$J71&lt;&gt;"",$J72&lt;&gt;"Total Cost")</formula>
    </cfRule>
  </conditionalFormatting>
  <conditionalFormatting sqref="J73:K73">
    <cfRule type="expression" dxfId="692" priority="83">
      <formula>AND($J73=0,$K73=0,$J73&lt;&gt;"",$J74&lt;&gt;"Total Cost")</formula>
    </cfRule>
  </conditionalFormatting>
  <conditionalFormatting sqref="J81:K81">
    <cfRule type="expression" dxfId="691" priority="82">
      <formula>AND($J81=0,$K81=0,$J81&lt;&gt;"",$J82&lt;&gt;"Total Cost")</formula>
    </cfRule>
  </conditionalFormatting>
  <conditionalFormatting sqref="J45:K45">
    <cfRule type="expression" dxfId="690" priority="81">
      <formula>AND($J45=0,$K45=0,$J45&lt;&gt;"",$J46&lt;&gt;"Total Cost")</formula>
    </cfRule>
  </conditionalFormatting>
  <conditionalFormatting sqref="U7:V7">
    <cfRule type="expression" dxfId="689" priority="80">
      <formula>AND($J7=0,$K7=0,$J7&lt;&gt;"",$J8&lt;&gt;"Total Cost")</formula>
    </cfRule>
  </conditionalFormatting>
  <conditionalFormatting sqref="U22:V22">
    <cfRule type="expression" dxfId="688" priority="79">
      <formula>AND($J22=0,$K22=0,$J22&lt;&gt;"",$J23&lt;&gt;"Total Cost")</formula>
    </cfRule>
  </conditionalFormatting>
  <conditionalFormatting sqref="J22:K22">
    <cfRule type="expression" dxfId="687" priority="78">
      <formula>AND($J22=0,$K22=0,$J22&lt;&gt;"",$J23&lt;&gt;"Total Cost")</formula>
    </cfRule>
  </conditionalFormatting>
  <conditionalFormatting sqref="J32:K32">
    <cfRule type="expression" dxfId="686" priority="77">
      <formula>AND($J32=0,$K32=0,$J32&lt;&gt;"",$J33&lt;&gt;"Total Cost")</formula>
    </cfRule>
  </conditionalFormatting>
  <conditionalFormatting sqref="J47:K47">
    <cfRule type="expression" dxfId="685" priority="76">
      <formula>AND($J47=0,$K47=0,$J47&lt;&gt;"",$J48&lt;&gt;"Total Cost")</formula>
    </cfRule>
  </conditionalFormatting>
  <conditionalFormatting sqref="J61:K61">
    <cfRule type="expression" dxfId="684" priority="75">
      <formula>AND($J61=0,$K61=0,$J61&lt;&gt;"",$J62&lt;&gt;"Total Cost")</formula>
    </cfRule>
  </conditionalFormatting>
  <conditionalFormatting sqref="U61:V61">
    <cfRule type="expression" dxfId="683" priority="74">
      <formula>AND($J61=0,$K61=0,$J61&lt;&gt;"",$J62&lt;&gt;"Total Cost")</formula>
    </cfRule>
  </conditionalFormatting>
  <conditionalFormatting sqref="U73:V73">
    <cfRule type="expression" dxfId="682" priority="73">
      <formula>AND($J73=0,$K73=0,$J73&lt;&gt;"",$J74&lt;&gt;"Total Cost")</formula>
    </cfRule>
  </conditionalFormatting>
  <conditionalFormatting sqref="J75:K75">
    <cfRule type="expression" dxfId="681" priority="72">
      <formula>AND($J75=0,$K75=0,$J75&lt;&gt;"",$J76&lt;&gt;"Total Cost")</formula>
    </cfRule>
  </conditionalFormatting>
  <conditionalFormatting sqref="J83:K83">
    <cfRule type="expression" dxfId="680" priority="71">
      <formula>AND($J83=0,$K83=0,$J83&lt;&gt;"",$J84&lt;&gt;"Total Cost")</formula>
    </cfRule>
  </conditionalFormatting>
  <conditionalFormatting sqref="J99:K99">
    <cfRule type="expression" dxfId="679" priority="70">
      <formula>AND($J99=0,$K99=0,$J99&lt;&gt;"",$J100&lt;&gt;"Total Cost")</formula>
    </cfRule>
  </conditionalFormatting>
  <conditionalFormatting sqref="U99:V99">
    <cfRule type="expression" dxfId="678" priority="69">
      <formula>AND($J99=0,$K99=0,$J99&lt;&gt;"",$J100&lt;&gt;"Total Cost")</formula>
    </cfRule>
  </conditionalFormatting>
  <conditionalFormatting sqref="J114:K114">
    <cfRule type="expression" dxfId="677" priority="68">
      <formula>AND($J114=0,$K114=0,$J114&lt;&gt;"",$J115&lt;&gt;"Total Cost")</formula>
    </cfRule>
  </conditionalFormatting>
  <conditionalFormatting sqref="U111:V111">
    <cfRule type="expression" dxfId="676" priority="67">
      <formula>AND($J111=0,$K111=0,$J111&lt;&gt;"",$J112&lt;&gt;"Total Cost")</formula>
    </cfRule>
  </conditionalFormatting>
  <conditionalFormatting sqref="U122:V122">
    <cfRule type="expression" dxfId="675" priority="66">
      <formula>AND($J122=0,$K122=0,$J122&lt;&gt;"",$J123&lt;&gt;"Total Cost")</formula>
    </cfRule>
  </conditionalFormatting>
  <conditionalFormatting sqref="J130:K130">
    <cfRule type="expression" dxfId="674" priority="65">
      <formula>AND($J130=0,$K130=0,$J130&lt;&gt;"",$J131&lt;&gt;"Total Cost")</formula>
    </cfRule>
  </conditionalFormatting>
  <conditionalFormatting sqref="J145:K145">
    <cfRule type="expression" dxfId="673" priority="64">
      <formula>AND($J145=0,$K145=0,$J145&lt;&gt;"",$J146&lt;&gt;"Total Cost")</formula>
    </cfRule>
  </conditionalFormatting>
  <conditionalFormatting sqref="U141:V141">
    <cfRule type="expression" dxfId="672" priority="63">
      <formula>AND($J141=0,$K141=0,$J141&lt;&gt;"",$J142&lt;&gt;"Total Cost")</formula>
    </cfRule>
  </conditionalFormatting>
  <conditionalFormatting sqref="U133:V133">
    <cfRule type="expression" dxfId="671" priority="62">
      <formula>AND($J133=0,$K133=0,$J133&lt;&gt;"",$J134&lt;&gt;"Total Cost")</formula>
    </cfRule>
  </conditionalFormatting>
  <conditionalFormatting sqref="J160:K160">
    <cfRule type="expression" dxfId="670" priority="61">
      <formula>AND($J160=0,$K160=0,$J160&lt;&gt;"",$J161&lt;&gt;"Total Cost")</formula>
    </cfRule>
  </conditionalFormatting>
  <conditionalFormatting sqref="U160:V160">
    <cfRule type="expression" dxfId="669" priority="60">
      <formula>AND($J160=0,$K160=0,$J160&lt;&gt;"",$J161&lt;&gt;"Total Cost")</formula>
    </cfRule>
  </conditionalFormatting>
  <conditionalFormatting sqref="U178:V178">
    <cfRule type="expression" dxfId="668" priority="59">
      <formula>AND($J178=0,$K178=0,$J178&lt;&gt;"",$J179&lt;&gt;"Total Cost")</formula>
    </cfRule>
  </conditionalFormatting>
  <conditionalFormatting sqref="U184:V184">
    <cfRule type="expression" dxfId="667" priority="58">
      <formula>AND($J184=0,$K184=0,$J184&lt;&gt;"",$J185&lt;&gt;"Total Cost")</formula>
    </cfRule>
  </conditionalFormatting>
  <conditionalFormatting sqref="J178:K178">
    <cfRule type="expression" dxfId="666" priority="57">
      <formula>AND($J178=0,$K178=0,$J178&lt;&gt;"",$J179&lt;&gt;"Total Cost")</formula>
    </cfRule>
  </conditionalFormatting>
  <conditionalFormatting sqref="J188:K188">
    <cfRule type="expression" dxfId="665" priority="56">
      <formula>AND($J188=0,$K188=0,$J188&lt;&gt;"",$J189&lt;&gt;"Total Cost")</formula>
    </cfRule>
  </conditionalFormatting>
  <conditionalFormatting sqref="J221:K221">
    <cfRule type="expression" dxfId="664" priority="55">
      <formula>AND($J221=0,$K221=0,$J221&lt;&gt;"",$J222&lt;&gt;"Total Cost")</formula>
    </cfRule>
  </conditionalFormatting>
  <conditionalFormatting sqref="U221:V221">
    <cfRule type="expression" dxfId="663" priority="54">
      <formula>AND($J221=0,$K221=0,$J221&lt;&gt;"",$J222&lt;&gt;"Total Cost")</formula>
    </cfRule>
  </conditionalFormatting>
  <conditionalFormatting sqref="U211:V211">
    <cfRule type="expression" dxfId="662" priority="53">
      <formula>AND($J211=0,$K211=0,$J211&lt;&gt;"",$J212&lt;&gt;"Total Cost")</formula>
    </cfRule>
  </conditionalFormatting>
  <conditionalFormatting sqref="J211:K211">
    <cfRule type="expression" dxfId="661" priority="52">
      <formula>AND($J211=0,$K211=0,$J211&lt;&gt;"",$J212&lt;&gt;"Total Cost")</formula>
    </cfRule>
  </conditionalFormatting>
  <conditionalFormatting sqref="J231:K231">
    <cfRule type="expression" dxfId="660" priority="51">
      <formula>AND($J231=0,$K231=0,$J231&lt;&gt;"",$J232&lt;&gt;"Total Cost")</formula>
    </cfRule>
  </conditionalFormatting>
  <conditionalFormatting sqref="U230:V230">
    <cfRule type="expression" dxfId="659" priority="50">
      <formula>AND($J230=0,$K230=0,$J230&lt;&gt;"",$J231&lt;&gt;"Total Cost")</formula>
    </cfRule>
  </conditionalFormatting>
  <conditionalFormatting sqref="U238:V238">
    <cfRule type="expression" dxfId="658" priority="49">
      <formula>AND($J238=0,$K238=0,$J238&lt;&gt;"",$J239&lt;&gt;"Total Cost")</formula>
    </cfRule>
  </conditionalFormatting>
  <conditionalFormatting sqref="J240:K240">
    <cfRule type="expression" dxfId="657" priority="48">
      <formula>AND($J240=0,$K240=0,$J240&lt;&gt;"",$J241&lt;&gt;"Total Cost")</formula>
    </cfRule>
  </conditionalFormatting>
  <conditionalFormatting sqref="J250:K250">
    <cfRule type="expression" dxfId="656" priority="47">
      <formula>AND($J250=0,$K250=0,$J250&lt;&gt;"",$J251&lt;&gt;"Total Cost")</formula>
    </cfRule>
  </conditionalFormatting>
  <conditionalFormatting sqref="U246:V246">
    <cfRule type="expression" dxfId="655" priority="46">
      <formula>AND($J246=0,$K246=0,$J246&lt;&gt;"",$J247&lt;&gt;"Total Cost")</formula>
    </cfRule>
  </conditionalFormatting>
  <conditionalFormatting sqref="J263:K263">
    <cfRule type="expression" dxfId="654" priority="45">
      <formula>AND($J263=0,$K263=0,$J263&lt;&gt;"",$J264&lt;&gt;"Total Cost")</formula>
    </cfRule>
  </conditionalFormatting>
  <conditionalFormatting sqref="U263:V263">
    <cfRule type="expression" dxfId="653" priority="44">
      <formula>AND($J263=0,$K263=0,$J263&lt;&gt;"",$J264&lt;&gt;"Total Cost")</formula>
    </cfRule>
  </conditionalFormatting>
  <conditionalFormatting sqref="U271:V271">
    <cfRule type="expression" dxfId="652" priority="43">
      <formula>AND($J271=0,$K271=0,$J271&lt;&gt;"",$J272&lt;&gt;"Total Cost")</formula>
    </cfRule>
  </conditionalFormatting>
  <conditionalFormatting sqref="J272:K272">
    <cfRule type="expression" dxfId="651" priority="42">
      <formula>AND($J272=0,$K272=0,$J272&lt;&gt;"",$J273&lt;&gt;"Total Cost")</formula>
    </cfRule>
  </conditionalFormatting>
  <conditionalFormatting sqref="J285:K285">
    <cfRule type="expression" dxfId="650" priority="41">
      <formula>AND($J285=0,$K285=0,$J285&lt;&gt;"",$J286&lt;&gt;"Total Cost")</formula>
    </cfRule>
  </conditionalFormatting>
  <conditionalFormatting sqref="U285:V285">
    <cfRule type="expression" dxfId="649" priority="40">
      <formula>AND($J285=0,$K285=0,$J285&lt;&gt;"",$J286&lt;&gt;"Total Cost")</formula>
    </cfRule>
  </conditionalFormatting>
  <conditionalFormatting sqref="J97:K97">
    <cfRule type="expression" dxfId="648" priority="39">
      <formula>AND($J97=0,$K97=0,$J97&lt;&gt;"",$J98&lt;&gt;"Total Cost")</formula>
    </cfRule>
  </conditionalFormatting>
  <conditionalFormatting sqref="U97:V97">
    <cfRule type="expression" dxfId="647" priority="38">
      <formula>AND($J97=0,$K97=0,$J97&lt;&gt;"",$J98&lt;&gt;"Total Cost")</formula>
    </cfRule>
  </conditionalFormatting>
  <conditionalFormatting sqref="U109:V109">
    <cfRule type="expression" dxfId="646" priority="37">
      <formula>AND($J109=0,$K109=0,$J109&lt;&gt;"",$J110&lt;&gt;"Total Cost")</formula>
    </cfRule>
  </conditionalFormatting>
  <conditionalFormatting sqref="J112:K112">
    <cfRule type="expression" dxfId="645" priority="36">
      <formula>AND($J112=0,$K112=0,$J112&lt;&gt;"",$J113&lt;&gt;"Total Cost")</formula>
    </cfRule>
  </conditionalFormatting>
  <conditionalFormatting sqref="U120:V120">
    <cfRule type="expression" dxfId="644" priority="35">
      <formula>AND($J120=0,$K120=0,$J120&lt;&gt;"",$J121&lt;&gt;"Total Cost")</formula>
    </cfRule>
  </conditionalFormatting>
  <conditionalFormatting sqref="J128:K128">
    <cfRule type="expression" dxfId="643" priority="34">
      <formula>AND($J128=0,$K128=0,$J128&lt;&gt;"",$J129&lt;&gt;"Total Cost")</formula>
    </cfRule>
  </conditionalFormatting>
  <conditionalFormatting sqref="J143:K143">
    <cfRule type="expression" dxfId="642" priority="33">
      <formula>AND($J143=0,$K143=0,$J143&lt;&gt;"",$J144&lt;&gt;"Total Cost")</formula>
    </cfRule>
  </conditionalFormatting>
  <conditionalFormatting sqref="U139:V139">
    <cfRule type="expression" dxfId="641" priority="32">
      <formula>AND($J139=0,$K139=0,$J139&lt;&gt;"",$J140&lt;&gt;"Total Cost")</formula>
    </cfRule>
  </conditionalFormatting>
  <conditionalFormatting sqref="U131:V131">
    <cfRule type="expression" dxfId="640" priority="31">
      <formula>AND($J131=0,$K131=0,$J131&lt;&gt;"",$J132&lt;&gt;"Total Cost")</formula>
    </cfRule>
  </conditionalFormatting>
  <conditionalFormatting sqref="J158:K158">
    <cfRule type="expression" dxfId="639" priority="30">
      <formula>AND($J158=0,$K158=0,$J158&lt;&gt;"",$J159&lt;&gt;"Total Cost")</formula>
    </cfRule>
  </conditionalFormatting>
  <conditionalFormatting sqref="U158:V158">
    <cfRule type="expression" dxfId="638" priority="29">
      <formula>AND($J158=0,$K158=0,$J158&lt;&gt;"",$J159&lt;&gt;"Total Cost")</formula>
    </cfRule>
  </conditionalFormatting>
  <conditionalFormatting sqref="U176:V176">
    <cfRule type="expression" dxfId="637" priority="28">
      <formula>AND($J176=0,$K176=0,$J176&lt;&gt;"",$J177&lt;&gt;"Total Cost")</formula>
    </cfRule>
  </conditionalFormatting>
  <conditionalFormatting sqref="J176:K176">
    <cfRule type="expression" dxfId="636" priority="27">
      <formula>AND($J176=0,$K176=0,$J176&lt;&gt;"",$J177&lt;&gt;"Total Cost")</formula>
    </cfRule>
  </conditionalFormatting>
  <conditionalFormatting sqref="J186:K186">
    <cfRule type="expression" dxfId="635" priority="26">
      <formula>AND($J186=0,$K186=0,$J186&lt;&gt;"",$J187&lt;&gt;"Total Cost")</formula>
    </cfRule>
  </conditionalFormatting>
  <conditionalFormatting sqref="J196:K196">
    <cfRule type="expression" dxfId="634" priority="25">
      <formula>AND($J196=0,$K196=0,$J196&lt;&gt;"",$J197&lt;&gt;"Total Cost")</formula>
    </cfRule>
  </conditionalFormatting>
  <conditionalFormatting sqref="U182:V182">
    <cfRule type="expression" dxfId="633" priority="24">
      <formula>AND($J182=0,$K182=0,$J182&lt;&gt;"",$J183&lt;&gt;"Total Cost")</formula>
    </cfRule>
  </conditionalFormatting>
  <conditionalFormatting sqref="J209:K209">
    <cfRule type="expression" dxfId="632" priority="23">
      <formula>AND($J209=0,$K209=0,$J209&lt;&gt;"",$J210&lt;&gt;"Total Cost")</formula>
    </cfRule>
  </conditionalFormatting>
  <conditionalFormatting sqref="J219:K219">
    <cfRule type="expression" dxfId="631" priority="22">
      <formula>AND($J219=0,$K219=0,$J219&lt;&gt;"",$J220&lt;&gt;"Total Cost")</formula>
    </cfRule>
  </conditionalFormatting>
  <conditionalFormatting sqref="U209:V209">
    <cfRule type="expression" dxfId="630" priority="21">
      <formula>AND($J209=0,$K209=0,$J209&lt;&gt;"",$J210&lt;&gt;"Total Cost")</formula>
    </cfRule>
  </conditionalFormatting>
  <conditionalFormatting sqref="U219:V219">
    <cfRule type="expression" dxfId="629" priority="20">
      <formula>AND($J219=0,$K219=0,$J219&lt;&gt;"",$J220&lt;&gt;"Total Cost")</formula>
    </cfRule>
  </conditionalFormatting>
  <conditionalFormatting sqref="U228:V228">
    <cfRule type="expression" dxfId="628" priority="19">
      <formula>AND($J228=0,$K228=0,$J228&lt;&gt;"",$J229&lt;&gt;"Total Cost")</formula>
    </cfRule>
  </conditionalFormatting>
  <conditionalFormatting sqref="J229:K229">
    <cfRule type="expression" dxfId="627" priority="18">
      <formula>AND($J229=0,$K229=0,$J229&lt;&gt;"",$J230&lt;&gt;"Total Cost")</formula>
    </cfRule>
  </conditionalFormatting>
  <conditionalFormatting sqref="J238:K238">
    <cfRule type="expression" dxfId="626" priority="17">
      <formula>AND($J238=0,$K238=0,$J238&lt;&gt;"",$J239&lt;&gt;"Total Cost")</formula>
    </cfRule>
  </conditionalFormatting>
  <conditionalFormatting sqref="U236:V236">
    <cfRule type="expression" dxfId="625" priority="16">
      <formula>AND($J236=0,$K236=0,$J236&lt;&gt;"",$J237&lt;&gt;"Total Cost")</formula>
    </cfRule>
  </conditionalFormatting>
  <conditionalFormatting sqref="J248:K248">
    <cfRule type="expression" dxfId="624" priority="14">
      <formula>AND($J248=0,$K248=0,$J248&lt;&gt;"",$J249&lt;&gt;"Total Cost")</formula>
    </cfRule>
  </conditionalFormatting>
  <conditionalFormatting sqref="J261:K261">
    <cfRule type="expression" dxfId="623" priority="13">
      <formula>AND($J261=0,$K261=0,$J261&lt;&gt;"",$J262&lt;&gt;"Total Cost")</formula>
    </cfRule>
  </conditionalFormatting>
  <conditionalFormatting sqref="J270:K270">
    <cfRule type="expression" dxfId="622" priority="12">
      <formula>AND($J270=0,$K270=0,$J270&lt;&gt;"",$J271&lt;&gt;"Total Cost")</formula>
    </cfRule>
  </conditionalFormatting>
  <conditionalFormatting sqref="U261:V261">
    <cfRule type="expression" dxfId="621" priority="11">
      <formula>AND($J261=0,$K261=0,$J261&lt;&gt;"",$J262&lt;&gt;"Total Cost")</formula>
    </cfRule>
  </conditionalFormatting>
  <conditionalFormatting sqref="U269:V269">
    <cfRule type="expression" dxfId="620" priority="10">
      <formula>AND($J269=0,$K269=0,$J269&lt;&gt;"",$J270&lt;&gt;"Total Cost")</formula>
    </cfRule>
  </conditionalFormatting>
  <conditionalFormatting sqref="U283:V283">
    <cfRule type="expression" dxfId="619" priority="9">
      <formula>AND($J283=0,$K283=0,$J283&lt;&gt;"",$J284&lt;&gt;"Total Cost")</formula>
    </cfRule>
  </conditionalFormatting>
  <conditionalFormatting sqref="J283:K283">
    <cfRule type="expression" dxfId="618" priority="8">
      <formula>AND($J283=0,$K283=0,$J283&lt;&gt;"",$J284&lt;&gt;"Total Cost")</formula>
    </cfRule>
  </conditionalFormatting>
  <conditionalFormatting sqref="U244:V244">
    <cfRule type="expression" dxfId="617" priority="7">
      <formula>AND($J244=0,$K244=0,$J244&lt;&gt;"",$J245&lt;&gt;"Total Cost")</formula>
    </cfRule>
  </conditionalFormatting>
  <conditionalFormatting sqref="J175:K175">
    <cfRule type="expression" dxfId="616" priority="5">
      <formula>AND($J175=0,$K175=0,$J175&lt;&gt;"",$J176&lt;&gt;"Total Cost")</formula>
    </cfRule>
  </conditionalFormatting>
  <conditionalFormatting sqref="U175:V175">
    <cfRule type="expression" dxfId="615" priority="4">
      <formula>AND($U175=0,$V175=0,$U175&lt;&gt;"",$U176&lt;&gt;"Total Cost")</formula>
    </cfRule>
    <cfRule type="expression" dxfId="614" priority="6">
      <formula>AND($Q175&lt;&gt;"",OR($Q175=0,$Q175="/"))</formula>
    </cfRule>
  </conditionalFormatting>
  <conditionalFormatting sqref="J208:K208">
    <cfRule type="expression" dxfId="613" priority="2">
      <formula>AND($J208=0,$K208=0,$J208&lt;&gt;"",$J209&lt;&gt;"Total Cost")</formula>
    </cfRule>
  </conditionalFormatting>
  <conditionalFormatting sqref="U208:V208">
    <cfRule type="expression" dxfId="612" priority="1">
      <formula>AND($U208=0,$V208=0,$U208&lt;&gt;"",$U209&lt;&gt;"Total Cost")</formula>
    </cfRule>
    <cfRule type="expression" dxfId="611" priority="3">
      <formula>AND($Q208&lt;&gt;"",OR($Q208=0,$Q208="/"))</formula>
    </cfRule>
  </conditionalFormatting>
  <pageMargins left="0.7" right="0.7" top="0.75" bottom="0.75" header="0.3" footer="0.3"/>
  <pageSetup paperSize="9" orientation="portrait" r:id="rId1"/>
  <ignoredErrors>
    <ignoredError sqref="A8:S16 A46:K46 A62:S70 A18:S19 A17:B17 D17:S17 A21:S21 B20:H20 M20:S20 A31:S31 B30:H30 L30:S30 A74:S74 B73:H73 L73:R73 A82:S82 B81:H81 L81:S81 A80:K80 M80:S80 A72:S72 A71:K71 M71:S71 B45:H45 L45:S45 A36:S44 A35:K35 M35:S35 A23:S29 A22:G22 L22:R22 A33:S34 A32:G32 L32:S32 A48:K53 A47:G47 A76:S79 A75:G75 L75:S75 A84:S91 A83:G83 L83:S8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L47"/>
  <sheetViews>
    <sheetView showGridLines="0" zoomScaleNormal="100" workbookViewId="0">
      <pane ySplit="2" topLeftCell="A3" activePane="bottomLeft" state="frozen"/>
      <selection activeCell="I50" sqref="I50"/>
      <selection pane="bottomLeft" activeCell="B39" sqref="B39"/>
    </sheetView>
  </sheetViews>
  <sheetFormatPr baseColWidth="10" defaultRowHeight="15" customHeight="1" x14ac:dyDescent="0.25"/>
  <cols>
    <col min="1" max="1" width="12.7109375" style="300" customWidth="1"/>
    <col min="2" max="3" width="4.7109375" style="300" customWidth="1"/>
    <col min="4" max="4" width="9" style="300" customWidth="1"/>
    <col min="5" max="5" width="8.7109375" style="300" hidden="1" customWidth="1"/>
    <col min="6" max="6" width="17.140625" style="300" customWidth="1"/>
    <col min="7" max="7" width="12.7109375" style="300" customWidth="1"/>
    <col min="8" max="9" width="4.7109375" style="300" customWidth="1"/>
    <col min="10" max="10" width="9" style="300" customWidth="1"/>
    <col min="11" max="11" width="8.7109375" style="300" hidden="1" customWidth="1"/>
    <col min="12" max="12" width="17.140625" style="300" customWidth="1"/>
    <col min="13" max="13" width="12.7109375" style="300" customWidth="1"/>
    <col min="14" max="14" width="4.7109375" style="300" customWidth="1"/>
    <col min="15" max="15" width="4.85546875" style="300" customWidth="1"/>
    <col min="16" max="16" width="10.140625" style="300" customWidth="1"/>
    <col min="17" max="17" width="8.7109375" style="300" hidden="1" customWidth="1"/>
    <col min="18" max="18" width="17.140625" style="300" customWidth="1"/>
    <col min="19" max="19" width="12.7109375" style="300" customWidth="1"/>
    <col min="20" max="21" width="4.7109375" style="300" customWidth="1"/>
    <col min="22" max="22" width="9" style="300" customWidth="1"/>
    <col min="23" max="23" width="8.7109375" style="300" hidden="1" customWidth="1"/>
    <col min="24" max="24" width="17.140625" style="300" customWidth="1"/>
    <col min="25" max="25" width="9.85546875" style="300" bestFit="1" customWidth="1"/>
    <col min="26" max="26" width="12.28515625" style="300" customWidth="1"/>
    <col min="27" max="28" width="10.7109375" style="300" customWidth="1"/>
    <col min="29" max="29" width="12.7109375" style="300" customWidth="1"/>
    <col min="30" max="31" width="4.7109375" style="300" customWidth="1"/>
    <col min="32" max="33" width="10.7109375" style="300" customWidth="1"/>
    <col min="34" max="16384" width="11.42578125" style="300"/>
  </cols>
  <sheetData>
    <row r="1" spans="1:26" ht="15" customHeight="1" x14ac:dyDescent="0.25">
      <c r="A1" s="450">
        <f>Paramètres!$AV$2</f>
        <v>7</v>
      </c>
      <c r="B1" s="492" t="s">
        <v>89</v>
      </c>
      <c r="C1" s="493"/>
      <c r="D1" s="487" t="str">
        <f>"Or Total:
"&amp;TEXT(D8+D11+P16+V9,"# 0")</f>
        <v>Or Total:
48 804 000</v>
      </c>
      <c r="E1" s="488"/>
      <c r="F1" s="489"/>
      <c r="G1" s="454" t="str">
        <f>"Élixir Total:
"&amp;TEXT(D7+D9+D10+D12+J12+D25+J30,"# 0")</f>
        <v>Élixir Total:
19 400 000</v>
      </c>
      <c r="H1" s="482"/>
      <c r="I1" s="466" t="str">
        <f>"Élixir Noir Total:
"&amp;TEXT(P24+V22,"# 0")</f>
        <v>Élixir Noir Total:
105 000</v>
      </c>
      <c r="J1" s="485"/>
      <c r="K1" s="482"/>
      <c r="L1" s="470" t="str">
        <f>"Temps Total:
"&amp; IF($B$2="secondes",TEXT((E13+K12+Q16+W9+E25+K30+Q24+W22)*60*60,"# 0")&amp;" secondes",
IF($B$2="minutes",TEXT((E13+K12+Q16+W9+E25+K30+Q24+W22)*60,"# 0")&amp;" minutes",
IF($B$2="heures",TEXT((E13+K12+Q16+W9+E25+K30+Q24+W22),"# 0,00")&amp;" heures",
IF($B$2="jours",TEXT((E13+K12+Q16+W9+E25+K30+Q24+W22)/24,"# 0,00")&amp;" jours",
IF($B$2="moiss",TEXT(((E13+K12+Q16+W9+E25+K30+Q24+W22)/24)/30,"# 0,00")&amp;" mois",
IF((E13+K12+Q16+W9+E25+K30+Q24+W22)/24&gt;=1,INT((E13+K12+Q16+W9+E25+K30+Q24+W22)/24)&amp;" jours "&amp; HOUR((E13+K12+Q16+W9+E25+K30+Q24+W22)/24-INT((E13+K12+Q16+W9+E25+K30+Q24+W22)/24))&amp;" hrs "&amp;MINUTE((E13+K12+Q16+W9+E25+K30+Q24+W22)/24-INT((E13+K12+Q16+W9+E25+K30+Q24+W22)/24))&amp;" mins",HOUR((E13+K12+Q16+W9+E25+K30+Q24+W22)/24-INT((E13+K12+Q16+W9+E25+K30+Q24+W22)/24))&amp;" hrs "&amp;MINUTE((E13+K12+Q16+W9+E25+K30+Q24+W22)/24-INT((E13+K12+Q16+W9+E25+K30+Q24+W22)/24))&amp;" mins"))))))</f>
        <v>Temps Total:
157 jours 0 hrs 0 mins</v>
      </c>
      <c r="M1" s="485"/>
      <c r="N1" s="474" t="str">
        <f>"Bâtiments: "&amp; IF($B$2="seconds",TEXT((E13+K12+Q16+W9)*60*60,"# 0")&amp;" secondes",
IF($B$2="minutes",TEXT((E13+K12+Q16+W9)*60,"# 0")&amp;" minutes",
IF($B$2="heures",TEXT((E13+K12+Q16+W9),"# 0,00")&amp;" heures",
IF($B$2="jours",TEXT((E13+K12+Q16+W9)/24,"# 0,00")&amp;" jours",
IF($B$2="mois",TEXT(((E13+K12+Q16+W9)/24)/30,"# 0,00")&amp;" mois",
IF((E13+K12+Q16+W9)/24&gt;=1,INT((E13+K12+Q16+W9)/24)&amp;" jours "&amp; HOUR((E13+K12+Q16+W9)/24-INT((E13+K12+Q16+W9)/24))&amp;" hrs "&amp;MINUTE((E13+K12+Q16+W9)/24-INT((E13+K12+Q16+W9)/24))&amp;" mins",HOUR((E13+K12+Q16+W9)/24-INT((E13+K12+Q16+W9)/24))&amp;" hrs "&amp;MINUTE((E13+K12+Q16+W9)/24-INT((E13+K12+Q16+W9)/24))&amp;" mins"))))))</f>
        <v>Bâtiments: 9 331 200 secondes</v>
      </c>
      <c r="O1" s="475"/>
      <c r="P1" s="475"/>
      <c r="Q1" s="475"/>
      <c r="R1" s="504"/>
      <c r="S1" s="497" t="str">
        <f>"=&gt; Temps par Ouvrier
" &amp; IF($B$2="secondes",TEXT((E13+K12+Q16+W9+W22)/[1]Paramètres!$AW$2*60*60,"# 0")&amp;" secondes",
IF($B$2="minutes",TEXT((E13+K12+Q16+W9+W22)/[1]Paramètres!$AW$2*60,"# 0")&amp;" minutes",
IF($B$2="heures",TEXT((E13+K12+Q16+W9+W22)/[1]Paramètres!$AW$2,"# 0,00")&amp;" heures",
IF($B$2="jours",TEXT((E13+K12+Q16+W9+W22)/[1]Paramètres!$AW$2/24,"# 0,00")&amp;" jours",
IF($B$2="mois",TEXT(((E13+K12+Q16+W9+W22)/[1]Paramètres!$AW$2/24)/30,"# 0,00")&amp;" mois",
IF((E13+K12+Q16+W9+W22)/[1]Paramètres!$AW$2/24&gt;=1,INT((E13+K12+Q16+W9+W22)/[1]Paramètres!$AW$2/24)&amp;" jours "&amp; HOUR((E13+K12+Q16+W9+W22)/[1]Paramètres!$AW$2/24-INT((E13+K12+Q16+W9+W22)/[1]Paramètres!$AW$2/24))&amp;" hrs "&amp;MINUTE((E13+K12+Q16+W9+W22)/[1]Paramètres!$AW$2/24-INT((E13+K12+Q16+W9+W22)/[1]Paramètres!$AW$2/24))&amp;" mins",HOUR((E13+K12+Q16+W9+W22)/[1]Paramètres!$AW$2/24-INT((E13+K12+Q16+W9+W22)/[1]Paramètres!$AW$2/24))&amp;" hrs "&amp;MINUTE((E13+K12+Q16+W9+W22)/[1]Paramètres!$AW$2/24-INT((E13+K12+Q16+W9+W22)/[1]Paramètres!$AW$2/24))&amp;" mins"))))))</f>
        <v>=&gt; Temps par Ouvrier
22 jours 14 hrs 24 mins</v>
      </c>
      <c r="T1" s="426"/>
      <c r="U1" s="427"/>
      <c r="V1" s="478" t="str">
        <f>"Amélior. Troupes/Sorts.:
" &amp; IF($B$2="secondes",TEXT(E25+K30+Q24*60*60,"# 0")&amp;" secondes",
IF($B$2="minutes",TEXT(E25+K30+Q24*60,"# 0")&amp;" minutes",
IF($B$2="heures",TEXT(E25+K30+Q24,"# 0,00")&amp;" heures",
IF($B$2="jours",TEXT(E25+K30+Q24/24,"# 0,00")&amp;" jours",
IF($B$2="mois",TEXT((E25+K30+Q24/24)/30,"# 0,00")&amp;" mois",
IF(E25+K30+Q24/24&gt;=1,INT(E25+K30+Q24/24)&amp;" jours "&amp; HOUR(E25+K30+Q24/24-INT(E25+K30+Q24/24))&amp;" hrs "&amp;MINUTE(E25+K30+Q24/24-INT(E25+K30+Q24/24))&amp;" mins",HOUR(E25+K30+Q24/24-INT(E25+K30+Q24/24))&amp;" hrs "&amp;MINUTE(E25+K30+Q24/24-INT(E25+K30+Q24/24))&amp;" mins"))))))</f>
        <v>Amélior. Troupes/Sorts.:
757 jours 0 hrs 0 mins</v>
      </c>
      <c r="W1" s="506"/>
      <c r="X1" s="482"/>
    </row>
    <row r="2" spans="1:26" ht="15" customHeight="1" thickBot="1" x14ac:dyDescent="0.3">
      <c r="A2" s="483"/>
      <c r="B2" s="490" t="s">
        <v>160</v>
      </c>
      <c r="C2" s="491"/>
      <c r="D2" s="488"/>
      <c r="E2" s="488"/>
      <c r="F2" s="489"/>
      <c r="G2" s="483"/>
      <c r="H2" s="484"/>
      <c r="I2" s="483"/>
      <c r="J2" s="486"/>
      <c r="K2" s="484"/>
      <c r="L2" s="483"/>
      <c r="M2" s="486"/>
      <c r="N2" s="476" t="str">
        <f>"Héros: "&amp; IF($B$2="secondes",TEXT(W22*60*60,"# 0")&amp;" secondes",
IF($B$2="minutes",TEXT(W22*60,"# 0")&amp;" minutes",
IF($B$2="heures",TEXT(W22,"# 0,00")&amp;" heures",
IF($B$2="jours",TEXT(W22/24,"# 0,00")&amp;" jours",
IF($B$2="mois",TEXT((W22/24)/30,"# 0,00")&amp;" mois",
IF(W22/24&gt;=1,INT(W22/24)&amp;" jours "&amp; HOUR(W22/24-INT(W22/24))&amp;" hrs "&amp;MINUTE(W22/24-INT(W22/24))&amp;" mins",HOUR(W22/24-INT(W22/24))&amp;" hrs "&amp;MINUTE(W22/24-INT(W22/24))&amp;" mins"))))))</f>
        <v>Héros: 5 jours 0 hrs 0 mins</v>
      </c>
      <c r="O2" s="477"/>
      <c r="P2" s="477"/>
      <c r="Q2" s="477"/>
      <c r="R2" s="505"/>
      <c r="S2" s="429"/>
      <c r="T2" s="429"/>
      <c r="U2" s="430"/>
      <c r="V2" s="480"/>
      <c r="W2" s="507"/>
      <c r="X2" s="484"/>
    </row>
    <row r="3" spans="1:26" ht="15" customHeight="1" x14ac:dyDescent="0.25">
      <c r="A3" s="498" t="s">
        <v>126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500"/>
      <c r="Y3" s="309" t="s">
        <v>76</v>
      </c>
      <c r="Z3" s="310">
        <f>D8+D11+P16+V9</f>
        <v>48804000</v>
      </c>
    </row>
    <row r="4" spans="1:26" ht="15" customHeight="1" thickBot="1" x14ac:dyDescent="0.3">
      <c r="A4" s="501"/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3"/>
      <c r="Y4" s="309" t="s">
        <v>77</v>
      </c>
      <c r="Z4" s="310">
        <f>D7+D9+D10+D12+J12+D25+J30</f>
        <v>19400000</v>
      </c>
    </row>
    <row r="5" spans="1:26" ht="30" customHeight="1" thickBot="1" x14ac:dyDescent="0.3">
      <c r="A5" s="494" t="s">
        <v>56</v>
      </c>
      <c r="B5" s="495"/>
      <c r="C5" s="495"/>
      <c r="D5" s="495"/>
      <c r="E5" s="495"/>
      <c r="F5" s="496"/>
      <c r="G5" s="494" t="s">
        <v>57</v>
      </c>
      <c r="H5" s="495"/>
      <c r="I5" s="495"/>
      <c r="J5" s="495"/>
      <c r="K5" s="495"/>
      <c r="L5" s="496"/>
      <c r="M5" s="494" t="s">
        <v>58</v>
      </c>
      <c r="N5" s="495"/>
      <c r="O5" s="495"/>
      <c r="P5" s="495"/>
      <c r="Q5" s="495"/>
      <c r="R5" s="496"/>
      <c r="S5" s="494" t="s">
        <v>71</v>
      </c>
      <c r="T5" s="495"/>
      <c r="U5" s="495"/>
      <c r="V5" s="495"/>
      <c r="W5" s="495"/>
      <c r="X5" s="496"/>
      <c r="Y5" s="309" t="s">
        <v>78</v>
      </c>
      <c r="Z5" s="310">
        <f>P24+V22</f>
        <v>105000</v>
      </c>
    </row>
    <row r="6" spans="1:26" ht="15" customHeight="1" thickBot="1" x14ac:dyDescent="0.3">
      <c r="A6" s="157" t="s">
        <v>79</v>
      </c>
      <c r="B6" s="160" t="s">
        <v>72</v>
      </c>
      <c r="C6" s="161" t="s">
        <v>73</v>
      </c>
      <c r="D6" s="161" t="s">
        <v>74</v>
      </c>
      <c r="E6" s="161" t="s">
        <v>18</v>
      </c>
      <c r="F6" s="162" t="s">
        <v>75</v>
      </c>
      <c r="G6" s="159" t="s">
        <v>79</v>
      </c>
      <c r="H6" s="160" t="s">
        <v>72</v>
      </c>
      <c r="I6" s="161" t="s">
        <v>73</v>
      </c>
      <c r="J6" s="161" t="s">
        <v>74</v>
      </c>
      <c r="K6" s="161" t="s">
        <v>18</v>
      </c>
      <c r="L6" s="162" t="s">
        <v>75</v>
      </c>
      <c r="M6" s="163" t="s">
        <v>79</v>
      </c>
      <c r="N6" s="160" t="s">
        <v>72</v>
      </c>
      <c r="O6" s="161" t="s">
        <v>73</v>
      </c>
      <c r="P6" s="161" t="s">
        <v>74</v>
      </c>
      <c r="Q6" s="161" t="s">
        <v>18</v>
      </c>
      <c r="R6" s="162" t="s">
        <v>75</v>
      </c>
      <c r="S6" s="163" t="s">
        <v>79</v>
      </c>
      <c r="T6" s="160" t="s">
        <v>72</v>
      </c>
      <c r="U6" s="161" t="s">
        <v>73</v>
      </c>
      <c r="V6" s="161" t="s">
        <v>74</v>
      </c>
      <c r="W6" s="161" t="s">
        <v>18</v>
      </c>
      <c r="X6" s="162" t="s">
        <v>75</v>
      </c>
    </row>
    <row r="7" spans="1:26" ht="15" customHeight="1" x14ac:dyDescent="0.25">
      <c r="A7" s="170" t="s">
        <v>105</v>
      </c>
      <c r="B7" s="171">
        <f>'À FAIRE - Détails'!J6</f>
        <v>0</v>
      </c>
      <c r="C7" s="172">
        <f>'À FAIRE - Détails'!K6</f>
        <v>0</v>
      </c>
      <c r="D7" s="173">
        <f>'À FAIRE - Détails'!J19</f>
        <v>0</v>
      </c>
      <c r="E7" s="368">
        <f>'À FAIRE - Détails'!K19</f>
        <v>0</v>
      </c>
      <c r="F7" s="174" t="str">
        <f>IF($B$2="secondes",TEXT(E7*60*60,"# 0")&amp;" secondes",
IF($B$2="minutes",TEXT(E7*60,"# 0")&amp;" minutes",
IF($B$2="heures",TEXT(E7,"# 0,00")&amp;" heures",
IF($B$2="jours",TEXT(E7/24,"# 0,00")&amp;"jours",
IF($B$2="mois",TEXT((E7/24)/30,"# 0,00")&amp;" mois",
IF(E7/24&gt;=1,INT(E7/24)&amp;" jours "&amp; HOUR(E7/24-INT(E7/24))&amp;" hrs "&amp;MINUTE(E7/24-INT(E7/24))&amp;" mins",HOUR(E7/24-INT(E7/24))&amp;" hrs "&amp;MINUTE(E7/24-INT(E7/24))&amp;" mins"))))))</f>
        <v>0 hrs 0 mins</v>
      </c>
      <c r="G7" s="175" t="s">
        <v>111</v>
      </c>
      <c r="H7" s="176">
        <f>'À FAIRE - Détails'!J74</f>
        <v>1</v>
      </c>
      <c r="I7" s="177">
        <f>'À FAIRE - Détails'!K74</f>
        <v>2</v>
      </c>
      <c r="J7" s="178">
        <f>'À FAIRE - Détails'!J80</f>
        <v>2250000</v>
      </c>
      <c r="K7" s="179">
        <f>'À FAIRE - Détails'!K80</f>
        <v>192</v>
      </c>
      <c r="L7" s="174" t="str">
        <f>IF($B$2="secondes",TEXT(K7*60*60,"# 0")&amp;" secondes",
IF($B$2="minutes",TEXT(K7*60,"# 0")&amp;" minutes",
IF($B$2="heures",TEXT(K7,"# 0,00")&amp;" heures",
IF($B$2="jours",TEXT(K7/24,"# 0,00")&amp;"jours",
IF($B$2="mois",TEXT((K7/24)/30,"# 0,00")&amp;" mois",
IF(K7/24&gt;=1,INT(K7/24)&amp;" jours "&amp; HOUR(K7/24-INT(K7/24))&amp;" hrs "&amp;MINUTE(K7/24-INT(K7/24))&amp;" mins",HOUR(K7/24-INT(K7/24))&amp;" hrs "&amp;MINUTE(K7/24-INT(K7/24))&amp;" mins"))))))</f>
        <v>8 jours 0 hrs 0 mins</v>
      </c>
      <c r="M7" s="175" t="s">
        <v>116</v>
      </c>
      <c r="N7" s="176">
        <f>'À FAIRE - Détails'!J98</f>
        <v>0</v>
      </c>
      <c r="O7" s="177">
        <f>'À FAIRE - Détails'!K98</f>
        <v>195</v>
      </c>
      <c r="P7" s="180">
        <f>'À FAIRE - Détails'!J111</f>
        <v>36500000</v>
      </c>
      <c r="Q7" s="179">
        <f>'À FAIRE - Détails'!K111</f>
        <v>0</v>
      </c>
      <c r="R7" s="174" t="str">
        <f>IF($B$2="seconds",TEXT(Q7*60*60,"# 0")&amp;" secondes",
IF($B$2="minutes",TEXT(Q7*60,"# 0")&amp;" minutes",
IF($B$2="heures",TEXT(Q7,"# 0,00")&amp;" heures",
IF($B$2="jours",TEXT(Q7/24,"# 0,00")&amp;" jours",
IF($B$2="mois",TEXT((Q7/24)/30,"# 0,00")&amp;" mois",
IF(Q7/24&gt;=1,INT(Q7/24)&amp;" jours "&amp; HOUR(Q7/24-INT(Q7/24))&amp;" hrs "&amp;MINUTE(Q7/24-INT(Q7/24))&amp;" mins",HOUR(Q7/24-INT(Q7/24))&amp;" hrs "&amp;MINUTE(Q7/24-INT(Q7/24))&amp;" mins"))))))</f>
        <v>0 secondes</v>
      </c>
      <c r="S7" s="181" t="s">
        <v>124</v>
      </c>
      <c r="T7" s="176">
        <f>'À FAIRE - Détails'!J159</f>
        <v>0</v>
      </c>
      <c r="U7" s="182">
        <f>'À FAIRE - Détails'!K159</f>
        <v>0</v>
      </c>
      <c r="V7" s="180">
        <f>'À FAIRE - Détails'!J166</f>
        <v>0</v>
      </c>
      <c r="W7" s="179">
        <f>'À FAIRE - Détails'!K166</f>
        <v>0</v>
      </c>
      <c r="X7" s="174" t="str">
        <f>IF($B$2="seconds",TEXT(W7*60*60,"# 0")&amp;" secondes",
IF($B$2="minutes",TEXT(W7*60,"# 0")&amp;" minutes",
IF($B$2="heures",TEXT(W7,"# 0,00")&amp;" heures",
IF($B$2="jours",TEXT(W7/24,"# 0,00")&amp;" jours",
IF($B$2="mois",TEXT((W7/24)/30,"# 0,00")&amp;" mois",
IF(W7/24&gt;=1,INT(W7/24)&amp;" jours "&amp; HOUR(W7/24-INT(W7/24))&amp;" hrs "&amp;MINUTE(W7/24-INT(W7/24))&amp;" mins",HOUR(W7/24-INT(W7/24))&amp;" hrs "&amp;MINUTE(W7/24-INT(W7/24))&amp;" mins"))))))</f>
        <v>0 secondes</v>
      </c>
    </row>
    <row r="8" spans="1:26" ht="15" customHeight="1" thickBot="1" x14ac:dyDescent="0.3">
      <c r="A8" s="190" t="s">
        <v>106</v>
      </c>
      <c r="B8" s="191">
        <f>'À FAIRE - Détails'!U6</f>
        <v>0</v>
      </c>
      <c r="C8" s="192">
        <f>'À FAIRE - Détails'!V6</f>
        <v>10</v>
      </c>
      <c r="D8" s="193">
        <f>'À FAIRE - Détails'!U19</f>
        <v>1344000</v>
      </c>
      <c r="E8" s="194">
        <f>'À FAIRE - Détails'!V19</f>
        <v>864</v>
      </c>
      <c r="F8" s="174" t="str">
        <f>IF($B$2="secondes",TEXT(E8*60*60,"# 0")&amp;" secondes",
IF($B$2="minutes",TEXT(E8*60,"# 0")&amp;" minutes",
IF($B$2="heures",TEXT(E8,"# 0,00")&amp;" heures",
IF($B$2="jours",TEXT(E8/24,"# 0,00")&amp;"jours",
IF($B$2="mois",TEXT((E8/24)/30,"# 0,00")&amp;" mois",
IF(E8/24&gt;=1,INT(E8/24)&amp;" jours "&amp; HOUR(E8/24-INT(E8/24))&amp;" hrs "&amp;MINUTE(E8/24-INT(E8/24))&amp;" mins",HOUR(E8/24-INT(E8/24))&amp;" hrs "&amp;MINUTE(E8/24-INT(E8/24))&amp;" mins"))))))</f>
        <v>36 jours 0 hrs 0 mins</v>
      </c>
      <c r="G8" s="181" t="s">
        <v>112</v>
      </c>
      <c r="H8" s="191">
        <f>'À FAIRE - Détails'!J60</f>
        <v>0</v>
      </c>
      <c r="I8" s="192">
        <f>'À FAIRE - Détails'!K60</f>
        <v>4</v>
      </c>
      <c r="J8" s="195">
        <f>'À FAIRE - Détails'!J72</f>
        <v>5200000</v>
      </c>
      <c r="K8" s="194">
        <f>'À FAIRE - Détails'!K72</f>
        <v>336</v>
      </c>
      <c r="L8" s="174" t="str">
        <f t="shared" ref="L8:L12" si="0">IF($B$2="secondes",TEXT(K8*60*60,"# 0")&amp;" secondes",
IF($B$2="minutes",TEXT(K8*60,"# 0")&amp;" minutes",
IF($B$2="heures",TEXT(K8,"# 0,00")&amp;" heures",
IF($B$2="jours",TEXT(K8/24,"# 0,00")&amp;"jours",
IF($B$2="mois",TEXT((K8/24)/30,"# 0,00")&amp;" mois",
IF(K8/24&gt;=1,INT(K8/24)&amp;" jours "&amp; HOUR(K8/24-INT(K8/24))&amp;" hrs "&amp;MINUTE(K8/24-INT(K8/24))&amp;" mins",HOUR(K8/24-INT(K8/24))&amp;" hrs "&amp;MINUTE(K8/24-INT(K8/24))&amp;" mins"))))))</f>
        <v>14 jours 0 hrs 0 mins</v>
      </c>
      <c r="M8" s="181" t="s">
        <v>117</v>
      </c>
      <c r="N8" s="191">
        <f>'À FAIRE - Détails'!J113</f>
        <v>0</v>
      </c>
      <c r="O8" s="192">
        <f>'À FAIRE - Détails'!K113</f>
        <v>0</v>
      </c>
      <c r="P8" s="193">
        <f>'À FAIRE - Détails'!J127</f>
        <v>0</v>
      </c>
      <c r="Q8" s="194">
        <f>'À FAIRE - Détails'!K127</f>
        <v>0</v>
      </c>
      <c r="R8" s="174" t="str">
        <f>IF($B$2="seconds",TEXT(Q8*60*60,"# 0")&amp;" secondes",
IF($B$2="minutes",TEXT(Q8*60,"# 0")&amp;" minutes",
IF($B$2="heures",TEXT(Q8,"# 0,00")&amp;" heures",
IF($B$2="jours",TEXT(Q8/24,"# 0,00")&amp;" jours",
IF($B$2="mois",TEXT((Q8/24)/30,"# 0,00")&amp;" mois",
IF(Q8/24&gt;=1,INT(Q8/24)&amp;" jours "&amp; HOUR(Q8/24-INT(Q8/24))&amp;" hrs "&amp;MINUTE(Q8/24-INT(Q8/24))&amp;" mins",HOUR(Q8/24-INT(Q8/24))&amp;" hrs "&amp;MINUTE(Q8/24-INT(Q8/24))&amp;" mins"))))))</f>
        <v>0 secondes</v>
      </c>
      <c r="S8" s="196" t="s">
        <v>125</v>
      </c>
      <c r="T8" s="197">
        <f>'À FAIRE - Détails'!U159</f>
        <v>0</v>
      </c>
      <c r="U8" s="198">
        <f>'À FAIRE - Détails'!V159</f>
        <v>1</v>
      </c>
      <c r="V8" s="199">
        <f>'À FAIRE - Détails'!U171</f>
        <v>2000000</v>
      </c>
      <c r="W8" s="366">
        <f>'À FAIRE - Détails'!V171</f>
        <v>192</v>
      </c>
      <c r="X8" s="174" t="str">
        <f>IF($B$2="seconds",TEXT(W8*60*60,"# 0")&amp;" secondes",
IF($B$2="minutes",TEXT(W8*60,"# 0")&amp;" minutes",
IF($B$2="heures",TEXT(W8,"# 0,00")&amp;" heures",
IF($B$2="jours",TEXT(W8/24,"# 0,00")&amp;" jours",
IF($B$2="mois",TEXT((W8/24)/30,"# 0,00")&amp;" mois",
IF(W8/24&gt;=1,INT(W8/24)&amp;" jours "&amp; HOUR(W8/24-INT(W8/24))&amp;" hrs "&amp;MINUTE(W8/24-INT(W8/24))&amp;" mins",HOUR(W8/24-INT(W8/24))&amp;" hrs "&amp;MINUTE(W8/24-INT(W8/24))&amp;" mins"))))))</f>
        <v>691 200 secondes</v>
      </c>
    </row>
    <row r="9" spans="1:26" ht="15" customHeight="1" thickBot="1" x14ac:dyDescent="0.3">
      <c r="A9" s="190" t="s">
        <v>107</v>
      </c>
      <c r="B9" s="191">
        <f>'À FAIRE - Détails'!J21</f>
        <v>0</v>
      </c>
      <c r="C9" s="192">
        <f>'À FAIRE - Détails'!K21</f>
        <v>0</v>
      </c>
      <c r="D9" s="195">
        <f>'À FAIRE - Détails'!J29</f>
        <v>0</v>
      </c>
      <c r="E9" s="194">
        <f>'À FAIRE - Détails'!K29</f>
        <v>0</v>
      </c>
      <c r="F9" s="174" t="str">
        <f t="shared" ref="F9:F12" si="1">IF($B$2="secondes",TEXT(E9*60*60,"# 0")&amp;" secondes",
IF($B$2="minutes",TEXT(E9*60,"# 0")&amp;" minutes",
IF($B$2="heures",TEXT(E9,"# 0,00")&amp;" heures",
IF($B$2="jours",TEXT(E9/24,"# 0,00")&amp;"jours",
IF($B$2="mois",TEXT((E9/24)/30,"# 0,00")&amp;" mois",
IF(E9/24&gt;=1,INT(E9/24)&amp;" jours "&amp; HOUR(E9/24-INT(E9/24))&amp;" hrs "&amp;MINUTE(E9/24-INT(E9/24))&amp;" mins",HOUR(E9/24-INT(E9/24))&amp;" hrs "&amp;MINUTE(E9/24-INT(E9/24))&amp;" mins"))))))</f>
        <v>0 hrs 0 mins</v>
      </c>
      <c r="G9" s="181" t="s">
        <v>113</v>
      </c>
      <c r="H9" s="191">
        <f>'À FAIRE - Détails'!J82</f>
        <v>0</v>
      </c>
      <c r="I9" s="192">
        <f>'À FAIRE - Détails'!K82</f>
        <v>0</v>
      </c>
      <c r="J9" s="195">
        <f>'À FAIRE - Détails'!J92</f>
        <v>0</v>
      </c>
      <c r="K9" s="194">
        <f>'À FAIRE - Détails'!K92</f>
        <v>0</v>
      </c>
      <c r="L9" s="174" t="str">
        <f t="shared" si="0"/>
        <v>0 hrs 0 mins</v>
      </c>
      <c r="M9" s="181" t="s">
        <v>119</v>
      </c>
      <c r="N9" s="191">
        <f>'À FAIRE - Détails'!J129</f>
        <v>0</v>
      </c>
      <c r="O9" s="192">
        <f>'À FAIRE - Détails'!K129</f>
        <v>0</v>
      </c>
      <c r="P9" s="193">
        <f>'À FAIRE - Détails'!J142</f>
        <v>0</v>
      </c>
      <c r="Q9" s="194">
        <f>'À FAIRE - Détails'!K142</f>
        <v>0</v>
      </c>
      <c r="R9" s="174" t="str">
        <f t="shared" ref="R9:R16" si="2">IF($B$2="seconds",TEXT(Q9*60*60,"# 0")&amp;" secondes",
IF($B$2="minutes",TEXT(Q9*60,"# 0")&amp;" minutes",
IF($B$2="heures",TEXT(Q9,"# 0,00")&amp;" heures",
IF($B$2="jours",TEXT(Q9/24,"# 0,00")&amp;" jours",
IF($B$2="mois",TEXT((Q9/24)/30,"# 0,00")&amp;" mois",
IF(Q9/24&gt;=1,INT(Q9/24)&amp;" jours "&amp; HOUR(Q9/24-INT(Q9/24))&amp;" hrs "&amp;MINUTE(Q9/24-INT(Q9/24))&amp;" mins",HOUR(Q9/24-INT(Q9/24))&amp;" hrs "&amp;MINUTE(Q9/24-INT(Q9/24))&amp;" mins"))))))</f>
        <v>0 secondes</v>
      </c>
      <c r="S9" s="210" t="s">
        <v>15</v>
      </c>
      <c r="T9" s="211">
        <f>SUM(T7:T8)</f>
        <v>0</v>
      </c>
      <c r="U9" s="212">
        <f>SUM(U7:U8)</f>
        <v>1</v>
      </c>
      <c r="V9" s="213">
        <f>SUM(V7:V8)</f>
        <v>2000000</v>
      </c>
      <c r="W9" s="367">
        <f>SUM(W7:W8)</f>
        <v>192</v>
      </c>
      <c r="X9" s="174" t="str">
        <f>IF($B$2="seconds",TEXT(W9*60*60,"# 0")&amp;" secondes",
IF($B$2="minutes",TEXT(W9*60,"# 0")&amp;" minutes",
IF($B$2="heures",TEXT(W9,"# 0,00")&amp;" heures",
IF($B$2="jours",TEXT(W9/24,"# 0,00")&amp;" jours",
IF($B$2="mois",TEXT((W9/24)/30,"# 0,00")&amp;" mois",
IF(W9/24&gt;=1,INT(W9/24)&amp;" jours "&amp; HOUR(W9/24-INT(W9/24))&amp;" hrs "&amp;MINUTE(W9/24-INT(W9/24))&amp;" mins",HOUR(W9/24-INT(W9/24))&amp;" hrs "&amp;MINUTE(W9/24-INT(W9/24))&amp;" mins"))))))</f>
        <v>691 200 secondes</v>
      </c>
    </row>
    <row r="10" spans="1:26" ht="15" customHeight="1" x14ac:dyDescent="0.25">
      <c r="A10" s="190" t="s">
        <v>108</v>
      </c>
      <c r="B10" s="191">
        <f>'À FAIRE - Détails'!J31</f>
        <v>0</v>
      </c>
      <c r="C10" s="192">
        <f>'À FAIRE - Détails'!K31</f>
        <v>1</v>
      </c>
      <c r="D10" s="195">
        <f>'À FAIRE - Détails'!J44</f>
        <v>500000</v>
      </c>
      <c r="E10" s="194">
        <f>'À FAIRE - Détails'!K44</f>
        <v>48</v>
      </c>
      <c r="F10" s="174" t="str">
        <f t="shared" si="1"/>
        <v>2 jours 0 hrs 0 mins</v>
      </c>
      <c r="G10" s="181" t="s">
        <v>114</v>
      </c>
      <c r="H10" s="191">
        <f>'À FAIRE - Détails'!U60</f>
        <v>0</v>
      </c>
      <c r="I10" s="192">
        <f>'À FAIRE - Détails'!V60</f>
        <v>0</v>
      </c>
      <c r="J10" s="195">
        <f>'À FAIRE - Détails'!U70</f>
        <v>0</v>
      </c>
      <c r="K10" s="194">
        <f>'À FAIRE - Détails'!V70</f>
        <v>0</v>
      </c>
      <c r="L10" s="174" t="str">
        <f t="shared" si="0"/>
        <v>0 hrs 0 mins</v>
      </c>
      <c r="M10" s="181" t="s">
        <v>118</v>
      </c>
      <c r="N10" s="191">
        <f>'À FAIRE - Détails'!J144</f>
        <v>0</v>
      </c>
      <c r="O10" s="192">
        <f>'À FAIRE - Détails'!K144</f>
        <v>1</v>
      </c>
      <c r="P10" s="193">
        <f>'À FAIRE - Détails'!J153</f>
        <v>800000</v>
      </c>
      <c r="Q10" s="194">
        <f>'À FAIRE - Détails'!K153</f>
        <v>96</v>
      </c>
      <c r="R10" s="174" t="str">
        <f t="shared" si="2"/>
        <v>345 600 secondes</v>
      </c>
      <c r="Y10" s="311"/>
    </row>
    <row r="11" spans="1:26" ht="15" customHeight="1" thickBot="1" x14ac:dyDescent="0.3">
      <c r="A11" s="190" t="s">
        <v>109</v>
      </c>
      <c r="B11" s="191">
        <f>'À FAIRE - Détails'!U21</f>
        <v>0</v>
      </c>
      <c r="C11" s="192">
        <f>'À FAIRE - Détails'!V21</f>
        <v>1</v>
      </c>
      <c r="D11" s="193">
        <f>'À FAIRE - Détails'!U34</f>
        <v>500000</v>
      </c>
      <c r="E11" s="194">
        <f>'À FAIRE - Détails'!V34</f>
        <v>48</v>
      </c>
      <c r="F11" s="174" t="str">
        <f t="shared" si="1"/>
        <v>2 jours 0 hrs 0 mins</v>
      </c>
      <c r="G11" s="196" t="s">
        <v>115</v>
      </c>
      <c r="H11" s="197">
        <f>'À FAIRE - Détails'!U72</f>
        <v>0</v>
      </c>
      <c r="I11" s="229">
        <f>'À FAIRE - Détails'!V72</f>
        <v>0</v>
      </c>
      <c r="J11" s="230">
        <f>'À FAIRE - Détails'!U79</f>
        <v>0</v>
      </c>
      <c r="K11" s="366">
        <f>'À FAIRE - Détails'!V79</f>
        <v>0</v>
      </c>
      <c r="L11" s="174" t="str">
        <f t="shared" si="0"/>
        <v>0 hrs 0 mins</v>
      </c>
      <c r="M11" s="181" t="s">
        <v>120</v>
      </c>
      <c r="N11" s="191">
        <f>'À FAIRE - Détails'!U98</f>
        <v>0</v>
      </c>
      <c r="O11" s="192">
        <f>'À FAIRE - Détails'!V98</f>
        <v>2</v>
      </c>
      <c r="P11" s="193">
        <f>'À FAIRE - Détails'!U108</f>
        <v>2160000</v>
      </c>
      <c r="Q11" s="194">
        <f>'À FAIRE - Détails'!V108</f>
        <v>288</v>
      </c>
      <c r="R11" s="174" t="str">
        <f t="shared" si="2"/>
        <v>1 036 800 secondes</v>
      </c>
      <c r="X11" s="311"/>
      <c r="Y11" s="311"/>
    </row>
    <row r="12" spans="1:26" ht="15" customHeight="1" thickBot="1" x14ac:dyDescent="0.3">
      <c r="A12" s="231" t="s">
        <v>110</v>
      </c>
      <c r="B12" s="197">
        <f>'À FAIRE - Détails'!J46</f>
        <v>0</v>
      </c>
      <c r="C12" s="229">
        <f>'À FAIRE - Détails'!K46</f>
        <v>1</v>
      </c>
      <c r="D12" s="230">
        <f>'À FAIRE - Détails'!J54</f>
        <v>1200000</v>
      </c>
      <c r="E12" s="366">
        <f>'À FAIRE - Détails'!K54</f>
        <v>48</v>
      </c>
      <c r="F12" s="174" t="str">
        <f t="shared" si="1"/>
        <v>2 jours 0 hrs 0 mins</v>
      </c>
      <c r="G12" s="210" t="s">
        <v>15</v>
      </c>
      <c r="H12" s="211">
        <f>SUM(H7:H11)</f>
        <v>1</v>
      </c>
      <c r="I12" s="212">
        <f>SUM(I7:I11)</f>
        <v>6</v>
      </c>
      <c r="J12" s="234">
        <f>SUM(J7:J11)</f>
        <v>7450000</v>
      </c>
      <c r="K12" s="367">
        <f>SUM(K7:K11)</f>
        <v>528</v>
      </c>
      <c r="L12" s="174" t="str">
        <f t="shared" si="0"/>
        <v>22 jours 0 hrs 0 mins</v>
      </c>
      <c r="M12" s="181" t="s">
        <v>121</v>
      </c>
      <c r="N12" s="191">
        <f>'À FAIRE - Détails'!U110</f>
        <v>0</v>
      </c>
      <c r="O12" s="192">
        <f>'À FAIRE - Détails'!V110</f>
        <v>0</v>
      </c>
      <c r="P12" s="193">
        <f>'À FAIRE - Détails'!U119</f>
        <v>0</v>
      </c>
      <c r="Q12" s="194">
        <f>'À FAIRE - Détails'!V119</f>
        <v>0</v>
      </c>
      <c r="R12" s="174" t="str">
        <f t="shared" si="2"/>
        <v>0 secondes</v>
      </c>
      <c r="X12" s="311"/>
      <c r="Y12" s="311"/>
    </row>
    <row r="13" spans="1:26" ht="15" customHeight="1" thickBot="1" x14ac:dyDescent="0.3">
      <c r="A13" s="210" t="s">
        <v>15</v>
      </c>
      <c r="B13" s="211">
        <f>SUM(B7:B12)</f>
        <v>0</v>
      </c>
      <c r="C13" s="212">
        <f>SUM(C7:C12)</f>
        <v>13</v>
      </c>
      <c r="D13" s="369">
        <f>SUM(D7:D12)</f>
        <v>3544000</v>
      </c>
      <c r="E13" s="367">
        <f>SUM(E7:E12)</f>
        <v>1008</v>
      </c>
      <c r="F13" s="174" t="str">
        <f>IF($B$2="secondes",TEXT(E13*60*60,"# 0")&amp;" secondes",
IF($B$2="minutes",TEXT(E13*60,"# 0")&amp;" minutes",
IF($B$2="heures",TEXT(E13,"# 0,00")&amp;" heures",
IF($B$2="jours",TEXT(E13/24,"# 0,00")&amp;"jours",
IF($B$2="mois",TEXT((E13/24)/30,"# 0,00")&amp;" mois",
IF(E13/24&gt;=1,INT(E13/24)&amp;" jours "&amp; HOUR(E13/24-INT(E13/24))&amp;" hrs "&amp;MINUTE(E13/24-INT(E13/24))&amp;" mins",HOUR(E13/24-INT(E13/24))&amp;" hrs "&amp;MINUTE(E13/24-INT(E13/24))&amp;" mins"))))))</f>
        <v>42 jours 0 hrs 0 mins</v>
      </c>
      <c r="M13" s="190" t="s">
        <v>122</v>
      </c>
      <c r="N13" s="191">
        <f>'À FAIRE - Détails'!U121</f>
        <v>0</v>
      </c>
      <c r="O13" s="192">
        <f>'À FAIRE - Détails'!V121</f>
        <v>4</v>
      </c>
      <c r="P13" s="193">
        <f>'À FAIRE - Détails'!U130</f>
        <v>5500000</v>
      </c>
      <c r="Q13" s="194">
        <f>'À FAIRE - Détails'!V130</f>
        <v>480</v>
      </c>
      <c r="R13" s="174" t="str">
        <f t="shared" si="2"/>
        <v>1 728 000 secondes</v>
      </c>
      <c r="X13" s="311"/>
      <c r="Y13" s="311"/>
    </row>
    <row r="14" spans="1:26" ht="15" customHeight="1" x14ac:dyDescent="0.25">
      <c r="M14" s="190" t="s">
        <v>123</v>
      </c>
      <c r="N14" s="191">
        <f>'À FAIRE - Détails'!U132</f>
        <v>0</v>
      </c>
      <c r="O14" s="192">
        <f>'À FAIRE - Détails'!V132</f>
        <v>0</v>
      </c>
      <c r="P14" s="193">
        <f>'À FAIRE - Détails'!U138</f>
        <v>0</v>
      </c>
      <c r="Q14" s="194">
        <f>'À FAIRE - Détails'!V138</f>
        <v>0</v>
      </c>
      <c r="R14" s="174" t="str">
        <f t="shared" si="2"/>
        <v>0 secondes</v>
      </c>
    </row>
    <row r="15" spans="1:26" ht="15" customHeight="1" thickBot="1" x14ac:dyDescent="0.3">
      <c r="D15" s="372"/>
      <c r="M15" s="231" t="s">
        <v>154</v>
      </c>
      <c r="N15" s="197">
        <f>'À FAIRE - Détails'!U140</f>
        <v>0</v>
      </c>
      <c r="O15" s="229">
        <f>'À FAIRE - Détails'!V140</f>
        <v>0</v>
      </c>
      <c r="P15" s="199">
        <f>'À FAIRE - Détails'!U144</f>
        <v>0</v>
      </c>
      <c r="Q15" s="366">
        <f>'À FAIRE - Détails'!V144</f>
        <v>0</v>
      </c>
      <c r="R15" s="174" t="str">
        <f t="shared" si="2"/>
        <v>0 secondes</v>
      </c>
    </row>
    <row r="16" spans="1:26" ht="15" customHeight="1" thickBot="1" x14ac:dyDescent="0.3">
      <c r="M16" s="210" t="s">
        <v>15</v>
      </c>
      <c r="N16" s="211">
        <f>SUM(N7:N15)</f>
        <v>0</v>
      </c>
      <c r="O16" s="212">
        <f>SUM(O7:O15)</f>
        <v>202</v>
      </c>
      <c r="P16" s="213">
        <f>SUM(P7:P15)</f>
        <v>44960000</v>
      </c>
      <c r="Q16" s="367">
        <f>SUM(Q7:Q15)</f>
        <v>864</v>
      </c>
      <c r="R16" s="174" t="str">
        <f t="shared" si="2"/>
        <v>3 110 400 secondes</v>
      </c>
    </row>
    <row r="17" spans="1:33" ht="15" customHeight="1" thickBot="1" x14ac:dyDescent="0.3"/>
    <row r="18" spans="1:33" ht="30" customHeight="1" thickBot="1" x14ac:dyDescent="0.3">
      <c r="A18" s="494" t="s">
        <v>60</v>
      </c>
      <c r="B18" s="495"/>
      <c r="C18" s="495"/>
      <c r="D18" s="495"/>
      <c r="E18" s="495"/>
      <c r="F18" s="496"/>
      <c r="G18" s="494" t="s">
        <v>61</v>
      </c>
      <c r="H18" s="495"/>
      <c r="I18" s="495"/>
      <c r="J18" s="495"/>
      <c r="K18" s="495"/>
      <c r="L18" s="496"/>
      <c r="M18" s="494" t="s">
        <v>62</v>
      </c>
      <c r="N18" s="495"/>
      <c r="O18" s="495"/>
      <c r="P18" s="495"/>
      <c r="Q18" s="495"/>
      <c r="R18" s="496"/>
      <c r="S18" s="494" t="s">
        <v>63</v>
      </c>
      <c r="T18" s="495"/>
      <c r="U18" s="495"/>
      <c r="V18" s="495"/>
      <c r="W18" s="495"/>
      <c r="X18" s="496"/>
    </row>
    <row r="19" spans="1:33" ht="15" customHeight="1" thickBot="1" x14ac:dyDescent="0.3">
      <c r="A19" s="163" t="s">
        <v>82</v>
      </c>
      <c r="B19" s="160" t="s">
        <v>72</v>
      </c>
      <c r="C19" s="161" t="s">
        <v>73</v>
      </c>
      <c r="D19" s="161" t="s">
        <v>74</v>
      </c>
      <c r="E19" s="161" t="s">
        <v>18</v>
      </c>
      <c r="F19" s="162" t="s">
        <v>75</v>
      </c>
      <c r="G19" s="159" t="s">
        <v>96</v>
      </c>
      <c r="H19" s="160" t="s">
        <v>72</v>
      </c>
      <c r="I19" s="161" t="s">
        <v>73</v>
      </c>
      <c r="J19" s="161" t="s">
        <v>74</v>
      </c>
      <c r="K19" s="161" t="s">
        <v>18</v>
      </c>
      <c r="L19" s="162" t="s">
        <v>75</v>
      </c>
      <c r="M19" s="163" t="s">
        <v>81</v>
      </c>
      <c r="N19" s="160" t="s">
        <v>72</v>
      </c>
      <c r="O19" s="161" t="s">
        <v>73</v>
      </c>
      <c r="P19" s="161" t="s">
        <v>74</v>
      </c>
      <c r="Q19" s="161" t="s">
        <v>18</v>
      </c>
      <c r="R19" s="162" t="s">
        <v>75</v>
      </c>
      <c r="S19" s="163" t="s">
        <v>80</v>
      </c>
      <c r="T19" s="160" t="s">
        <v>72</v>
      </c>
      <c r="U19" s="161" t="s">
        <v>73</v>
      </c>
      <c r="V19" s="161" t="s">
        <v>74</v>
      </c>
      <c r="W19" s="161" t="s">
        <v>18</v>
      </c>
      <c r="X19" s="162" t="s">
        <v>75</v>
      </c>
    </row>
    <row r="20" spans="1:33" ht="15" customHeight="1" x14ac:dyDescent="0.25">
      <c r="A20" s="245" t="s">
        <v>100</v>
      </c>
      <c r="B20" s="246">
        <f>'À FAIRE - Détails'!J177</f>
        <v>0</v>
      </c>
      <c r="C20" s="172">
        <f>'À FAIRE - Détails'!K177</f>
        <v>0</v>
      </c>
      <c r="D20" s="173">
        <f>'À FAIRE - Détails'!J185</f>
        <v>0</v>
      </c>
      <c r="E20" s="368">
        <f>'À FAIRE - Détails'!K185</f>
        <v>0</v>
      </c>
      <c r="F20" s="174" t="str">
        <f>IF($B$2="secondes",TEXT(E20*60*60,"# 0")&amp;" secondes",
IF($B$2="minutes",TEXT(E20*60,"# 0")&amp;" minutes",
IF($B$2="heures",TEXT(E20,"# 0,00")&amp;" heures",
IF($B$2="jours",TEXT(E20/24,"# 0,00")&amp;"jours",
IF($B$2="mois",TEXT((E20/24)/30,"# 0,00")&amp;" mois",
IF(E20/24&gt;=1,INT(E20/24)&amp;" jours "&amp; HOUR(E20/24-INT(E20/24))&amp;" hrs "&amp;MINUTE(E20/24-INT(E20/24))&amp;" mins",HOUR(E20/24-INT(E20/24))&amp;" hrs "&amp;MINUTE(E20/24-INT(E20/24))&amp;" mins"))))))</f>
        <v>0 hrs 0 mins</v>
      </c>
      <c r="G20" s="175" t="s">
        <v>83</v>
      </c>
      <c r="H20" s="176">
        <f>'À FAIRE - Détails'!J210</f>
        <v>0</v>
      </c>
      <c r="I20" s="177">
        <f>'À FAIRE - Détails'!K210</f>
        <v>0</v>
      </c>
      <c r="J20" s="178">
        <f>'À FAIRE - Détails'!J218</f>
        <v>0</v>
      </c>
      <c r="K20" s="179">
        <f>'À FAIRE - Détails'!K218</f>
        <v>0</v>
      </c>
      <c r="L20" s="174" t="str">
        <f>IF($B$2="secondes",TEXT(K20*60*60,"# 0")&amp;" secondes",
IF($B$2="minutes",TEXT(K20*60,"# 0")&amp;" minutes",
IF($B$2="heures",TEXT(K20,"# 0,00")&amp;" heures",
IF($B$2="jours",TEXT(K20/24,"# 0,00")&amp;"jours",
IF($B$2="mois",TEXT((K20/24)/30,"# 0,00")&amp;" mois",
IF(K20/24&gt;=1,INT(K20/24)&amp;" jours "&amp; HOUR(K20/24-INT(K20/24))&amp;" hrs "&amp;MINUTE(K20/24-INT(K20/24))&amp;" mins",HOUR(K20/24-INT(K20/24))&amp;" hrs "&amp;MINUTE(K20/24-INT(K20/24))&amp;" mins"))))))</f>
        <v>0 hrs 0 mins</v>
      </c>
      <c r="M20" s="175" t="s">
        <v>97</v>
      </c>
      <c r="N20" s="176">
        <f>'À FAIRE - Détails'!J262</f>
        <v>1</v>
      </c>
      <c r="O20" s="177">
        <f>'À FAIRE - Détails'!K262</f>
        <v>2</v>
      </c>
      <c r="P20" s="247">
        <f>'À FAIRE - Détails'!J269</f>
        <v>10000</v>
      </c>
      <c r="Q20" s="179">
        <f>'À FAIRE - Détails'!K269</f>
        <v>120</v>
      </c>
      <c r="R20" s="174" t="str">
        <f>IF($B$2="secondes",TEXT(Q20*60*60,"# 0")&amp;" secondes",
IF($B$2="minutes",TEXT(Q20*60,"# 0")&amp;" minutes",
IF($B$2="heures",TEXT(Q20,"# 0,00")&amp;" heures",
IF($B$2="jours",TEXT(Q20/24,"# 0,00")&amp;"jours",
IF($B$2="mois",TEXT((Q20/24)/30,"# 0,00")&amp;" mois",
IF(Q20/24&gt;=1,INT(Q20/24)&amp;" jours "&amp; HOUR(Q20/24-INT(Q20/24))&amp;" hrs "&amp;MINUTE(Q20/24-INT(Q20/24))&amp;" mins",HOUR(Q20/24-INT(Q20/24))&amp;" hrs "&amp;MINUTE(Q20/24-INT(Q20/24))&amp;" mins"))))))</f>
        <v>5 jours 0 hrs 0 mins</v>
      </c>
      <c r="S20" s="175" t="s">
        <v>137</v>
      </c>
      <c r="T20" s="176">
        <f>'À FAIRE - Détails'!J284</f>
        <v>1</v>
      </c>
      <c r="U20" s="182">
        <f>'À FAIRE - Détails'!K284</f>
        <v>5</v>
      </c>
      <c r="V20" s="247">
        <f>'À FAIRE - Détails'!J326</f>
        <v>75000</v>
      </c>
      <c r="W20" s="179">
        <f>'À FAIRE - Détails'!K326</f>
        <v>120</v>
      </c>
      <c r="X20" s="174" t="str">
        <f>IF($B$2="secondes",TEXT(W20*60*60,"# 0")&amp;" secondes",
IF($B$2="minutes",TEXT(W20*60,"# 0")&amp;" minutes",
IF($B$2="heures",TEXT(W20,"# 0,00")&amp;" heures",
IF($B$2="jours",TEXT(W20/24,"# 0,00")&amp;"jours",
IF($B$2="mois",TEXT((W20/24)/30,"# 0,00")&amp;" mois",
IF(W20/24&gt;=1,INT(W20/24)&amp;" jours "&amp; HOUR(W20/24-INT(W20/24))&amp;" hrs "&amp;MINUTE(W20/24-INT(W20/24))&amp;" mins",HOUR(W20/24-INT(W20/24))&amp;" hrs "&amp;MINUTE(W20/24-INT(W20/24))&amp;" mins"))))))</f>
        <v>5 jours 0 hrs 0 mins</v>
      </c>
    </row>
    <row r="21" spans="1:33" ht="15" customHeight="1" thickBot="1" x14ac:dyDescent="0.3">
      <c r="A21" s="253" t="s">
        <v>101</v>
      </c>
      <c r="B21" s="254">
        <f>'À FAIRE - Détails'!J187</f>
        <v>0</v>
      </c>
      <c r="C21" s="192">
        <f>'À FAIRE - Détails'!K187</f>
        <v>1</v>
      </c>
      <c r="D21" s="195">
        <f>'À FAIRE - Détails'!J195</f>
        <v>1200000</v>
      </c>
      <c r="E21" s="194">
        <f>'À FAIRE - Détails'!K195</f>
        <v>72</v>
      </c>
      <c r="F21" s="174" t="str">
        <f>IF($B$2="secondes",TEXT(E21*60*60,"# 0")&amp;" secondes",
IF($B$2="minutes",TEXT(E21*60,"# 0")&amp;" minutes",
IF($B$2="heures",TEXT(E21,"# 0,00")&amp;" heures",
IF($B$2="jours",TEXT(E21/24,"# 0,00")&amp;"jours",
IF($B$2="mois",TEXT((E21/24)/30,"# 0,00")&amp;" mois",
IF(E21/24&gt;=1,INT(E21/24)&amp;" jours "&amp; HOUR(E21/24-INT(E21/24))&amp;" hrs "&amp;MINUTE(E21/24-INT(E21/24))&amp;" mins",HOUR(E21/24-INT(E21/24))&amp;" hrs "&amp;MINUTE(E21/24-INT(E21/24))&amp;" mins"))))))</f>
        <v>3 jours 0 hrs 0 mins</v>
      </c>
      <c r="G21" s="181" t="s">
        <v>20</v>
      </c>
      <c r="H21" s="191">
        <f>'À FAIRE - Détails'!J220</f>
        <v>0</v>
      </c>
      <c r="I21" s="192">
        <f>'À FAIRE - Détails'!K220</f>
        <v>0</v>
      </c>
      <c r="J21" s="195">
        <f>'À FAIRE - Détails'!J228</f>
        <v>0</v>
      </c>
      <c r="K21" s="194">
        <f>'À FAIRE - Détails'!K228</f>
        <v>0</v>
      </c>
      <c r="L21" s="174" t="str">
        <f t="shared" ref="L21:L30" si="3">IF($B$2="secondes",TEXT(K21*60*60,"# 0")&amp;" secondes",
IF($B$2="minutes",TEXT(K21*60,"# 0")&amp;" minutes",
IF($B$2="heures",TEXT(K21,"# 0,00")&amp;" heures",
IF($B$2="jours",TEXT(K21/24,"# 0,00")&amp;"jours",
IF($B$2="mois",TEXT((K21/24)/30,"# 0,00")&amp;" mois",
IF(K21/24&gt;=1,INT(K21/24)&amp;" jours "&amp; HOUR(K21/24-INT(K21/24))&amp;" hrs "&amp;MINUTE(K21/24-INT(K21/24))&amp;" mins",HOUR(K21/24-INT(K21/24))&amp;" hrs "&amp;MINUTE(K21/24-INT(K21/24))&amp;" mins"))))))</f>
        <v>0 hrs 0 mins</v>
      </c>
      <c r="M21" s="181" t="s">
        <v>98</v>
      </c>
      <c r="N21" s="191">
        <f>'À FAIRE - Détails'!J271</f>
        <v>1</v>
      </c>
      <c r="O21" s="192">
        <f>'À FAIRE - Détails'!K271</f>
        <v>2</v>
      </c>
      <c r="P21" s="255">
        <f>'À FAIRE - Détails'!J278</f>
        <v>20000</v>
      </c>
      <c r="Q21" s="194">
        <f>'À FAIRE - Détails'!K278</f>
        <v>192</v>
      </c>
      <c r="R21" s="174" t="str">
        <f t="shared" ref="R21:R24" si="4">IF($B$2="secondes",TEXT(Q21*60*60,"# 0")&amp;" secondes",
IF($B$2="minutes",TEXT(Q21*60,"# 0")&amp;" minutes",
IF($B$2="heures",TEXT(Q21,"# 0,00")&amp;" heures",
IF($B$2="jours",TEXT(Q21/24,"# 0,00")&amp;"jours",
IF($B$2="mois",TEXT((Q21/24)/30,"# 0,00")&amp;" mois",
IF(Q21/24&gt;=1,INT(Q21/24)&amp;" jours "&amp; HOUR(Q21/24-INT(Q21/24))&amp;" hrs "&amp;MINUTE(Q21/24-INT(Q21/24))&amp;" mins",HOUR(Q21/24-INT(Q21/24))&amp;" hrs "&amp;MINUTE(Q21/24-INT(Q21/24))&amp;" mins"))))))</f>
        <v>8 jours 0 hrs 0 mins</v>
      </c>
      <c r="S21" s="196" t="s">
        <v>99</v>
      </c>
      <c r="T21" s="197">
        <f>'À FAIRE - Détails'!U284</f>
        <v>0</v>
      </c>
      <c r="U21" s="198">
        <f>'À FAIRE - Détails'!V284</f>
        <v>0</v>
      </c>
      <c r="V21" s="256">
        <f>'À FAIRE - Détails'!U326</f>
        <v>0</v>
      </c>
      <c r="W21" s="366">
        <f>'À FAIRE - Détails'!V326</f>
        <v>0</v>
      </c>
      <c r="X21" s="174" t="str">
        <f t="shared" ref="X21:X22" si="5">IF($B$2="secondes",TEXT(W21*60*60,"# 0")&amp;" secondes",
IF($B$2="minutes",TEXT(W21*60,"# 0")&amp;" minutes",
IF($B$2="heures",TEXT(W21,"# 0,00")&amp;" heures",
IF($B$2="jours",TEXT(W21/24,"# 0,00")&amp;"jours",
IF($B$2="mois",TEXT((W21/24)/30,"# 0,00")&amp;" mois",
IF(W21/24&gt;=1,INT(W21/24)&amp;" jours "&amp; HOUR(W21/24-INT(W21/24))&amp;" hrs "&amp;MINUTE(W21/24-INT(W21/24))&amp;" mins",HOUR(W21/24-INT(W21/24))&amp;" hrs "&amp;MINUTE(W21/24-INT(W21/24))&amp;" mins"))))))</f>
        <v>0 hrs 0 mins</v>
      </c>
    </row>
    <row r="22" spans="1:33" ht="15" customHeight="1" thickBot="1" x14ac:dyDescent="0.3">
      <c r="A22" s="253" t="s">
        <v>102</v>
      </c>
      <c r="B22" s="254">
        <f>'À FAIRE - Détails'!J197</f>
        <v>0</v>
      </c>
      <c r="C22" s="192">
        <f>'À FAIRE - Détails'!K197</f>
        <v>3</v>
      </c>
      <c r="D22" s="195">
        <f>'À FAIRE - Détails'!J204</f>
        <v>3150000</v>
      </c>
      <c r="E22" s="194">
        <f>'À FAIRE - Détails'!K204</f>
        <v>240</v>
      </c>
      <c r="F22" s="174" t="str">
        <f t="shared" ref="F22:F25" si="6">IF($B$2="secondes",TEXT(E22*60*60,"# 0")&amp;" secondes",
IF($B$2="minutes",TEXT(E22*60,"# 0")&amp;" minutes",
IF($B$2="heures",TEXT(E22,"# 0,00")&amp;" heures",
IF($B$2="jours",TEXT(E22/24,"# 0,00")&amp;"jours",
IF($B$2="mois",TEXT((E22/24)/30,"# 0,00")&amp;" mois",
IF(E22/24&gt;=1,INT(E22/24)&amp;" jours "&amp; HOUR(E22/24-INT(E22/24))&amp;" hrs "&amp;MINUTE(E22/24-INT(E22/24))&amp;" mins",HOUR(E22/24-INT(E22/24))&amp;" hrs "&amp;MINUTE(E22/24-INT(E22/24))&amp;" mins"))))))</f>
        <v>10 jours 0 hrs 0 mins</v>
      </c>
      <c r="G22" s="181" t="s">
        <v>21</v>
      </c>
      <c r="H22" s="191">
        <f>'À FAIRE - Détails'!J230</f>
        <v>0</v>
      </c>
      <c r="I22" s="192">
        <f>'À FAIRE - Détails'!K230</f>
        <v>1</v>
      </c>
      <c r="J22" s="195">
        <f>'À FAIRE - Détails'!J237</f>
        <v>750000</v>
      </c>
      <c r="K22" s="194">
        <f>'À FAIRE - Détails'!K237</f>
        <v>72</v>
      </c>
      <c r="L22" s="174" t="str">
        <f t="shared" si="3"/>
        <v>3 jours 0 hrs 0 mins</v>
      </c>
      <c r="M22" s="181" t="s">
        <v>24</v>
      </c>
      <c r="N22" s="191">
        <f>'À FAIRE - Détails'!U262</f>
        <v>0</v>
      </c>
      <c r="O22" s="192">
        <f>'À FAIRE - Détails'!V262</f>
        <v>0</v>
      </c>
      <c r="P22" s="255">
        <f>'À FAIRE - Détails'!U268</f>
        <v>0</v>
      </c>
      <c r="Q22" s="194">
        <f>'À FAIRE - Détails'!V268</f>
        <v>0</v>
      </c>
      <c r="R22" s="174" t="str">
        <f t="shared" si="4"/>
        <v>0 hrs 0 mins</v>
      </c>
      <c r="S22" s="210" t="s">
        <v>15</v>
      </c>
      <c r="T22" s="211">
        <f>SUM(T20:T21)</f>
        <v>1</v>
      </c>
      <c r="U22" s="212">
        <f>SUM(U20:U21)</f>
        <v>5</v>
      </c>
      <c r="V22" s="257">
        <f>SUM(V20:V21)</f>
        <v>75000</v>
      </c>
      <c r="W22" s="367">
        <f>SUM(W20:W21)</f>
        <v>120</v>
      </c>
      <c r="X22" s="174" t="str">
        <f t="shared" si="5"/>
        <v>5 jours 0 hrs 0 mins</v>
      </c>
      <c r="Z22" s="311"/>
      <c r="AA22" s="311"/>
      <c r="AB22" s="311"/>
      <c r="AC22" s="311"/>
      <c r="AD22" s="311"/>
      <c r="AE22" s="311"/>
      <c r="AF22" s="311"/>
      <c r="AG22" s="311"/>
    </row>
    <row r="23" spans="1:33" ht="15" customHeight="1" thickBot="1" x14ac:dyDescent="0.3">
      <c r="A23" s="253" t="s">
        <v>103</v>
      </c>
      <c r="B23" s="254">
        <f>'À FAIRE - Détails'!U177</f>
        <v>0</v>
      </c>
      <c r="C23" s="192">
        <f>'À FAIRE - Détails'!V177</f>
        <v>0</v>
      </c>
      <c r="D23" s="195">
        <f>'À FAIRE - Détails'!U181</f>
        <v>0</v>
      </c>
      <c r="E23" s="194">
        <f>'À FAIRE - Détails'!V181</f>
        <v>0</v>
      </c>
      <c r="F23" s="174" t="str">
        <f t="shared" si="6"/>
        <v>0 hrs 0 mins</v>
      </c>
      <c r="G23" s="181" t="s">
        <v>84</v>
      </c>
      <c r="H23" s="191">
        <f>'À FAIRE - Détails'!J239</f>
        <v>0</v>
      </c>
      <c r="I23" s="192">
        <f>'À FAIRE - Détails'!K239</f>
        <v>0</v>
      </c>
      <c r="J23" s="195">
        <f>'À FAIRE - Détails'!J247</f>
        <v>0</v>
      </c>
      <c r="K23" s="194">
        <f>'À FAIRE - Détails'!K247</f>
        <v>0</v>
      </c>
      <c r="L23" s="174" t="str">
        <f t="shared" si="3"/>
        <v>0 hrs 0 mins</v>
      </c>
      <c r="M23" s="196" t="s">
        <v>25</v>
      </c>
      <c r="N23" s="197">
        <f>'À FAIRE - Détails'!U270</f>
        <v>0</v>
      </c>
      <c r="O23" s="229">
        <f>'À FAIRE - Détails'!V270</f>
        <v>0</v>
      </c>
      <c r="P23" s="256">
        <f>'À FAIRE - Détails'!U277</f>
        <v>0</v>
      </c>
      <c r="Q23" s="366">
        <f>'À FAIRE - Détails'!V276</f>
        <v>0</v>
      </c>
      <c r="R23" s="174" t="str">
        <f t="shared" si="4"/>
        <v>0 hrs 0 mins</v>
      </c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</row>
    <row r="24" spans="1:33" ht="15" customHeight="1" thickBot="1" x14ac:dyDescent="0.3">
      <c r="A24" s="370" t="s">
        <v>104</v>
      </c>
      <c r="B24" s="371">
        <f>'À FAIRE - Détails'!U183</f>
        <v>0</v>
      </c>
      <c r="C24" s="229">
        <f>'À FAIRE - Détails'!V183</f>
        <v>0</v>
      </c>
      <c r="D24" s="230">
        <f>'À FAIRE - Détails'!U187</f>
        <v>0</v>
      </c>
      <c r="E24" s="366">
        <f>'À FAIRE - Détails'!V187</f>
        <v>0</v>
      </c>
      <c r="F24" s="174" t="str">
        <f t="shared" si="6"/>
        <v>0 hrs 0 mins</v>
      </c>
      <c r="G24" s="181" t="s">
        <v>85</v>
      </c>
      <c r="H24" s="191">
        <f>'À FAIRE - Détails'!J249</f>
        <v>0</v>
      </c>
      <c r="I24" s="192">
        <f>'À FAIRE - Détails'!K249</f>
        <v>0</v>
      </c>
      <c r="J24" s="195">
        <f>'À FAIRE - Détails'!J256</f>
        <v>0</v>
      </c>
      <c r="K24" s="194">
        <f>'À FAIRE - Détails'!K256</f>
        <v>0</v>
      </c>
      <c r="L24" s="174" t="str">
        <f t="shared" si="3"/>
        <v>0 hrs 0 mins</v>
      </c>
      <c r="M24" s="210" t="s">
        <v>15</v>
      </c>
      <c r="N24" s="211">
        <f>SUM(N20:N23)</f>
        <v>2</v>
      </c>
      <c r="O24" s="212">
        <f>SUM(O20:O23)</f>
        <v>4</v>
      </c>
      <c r="P24" s="257">
        <f>SUM(P20:P23)</f>
        <v>30000</v>
      </c>
      <c r="Q24" s="367">
        <f>SUM(Q20:Q23)</f>
        <v>312</v>
      </c>
      <c r="R24" s="174" t="str">
        <f t="shared" si="4"/>
        <v>13 jours 0 hrs 0 mins</v>
      </c>
      <c r="S24" s="311"/>
      <c r="T24" s="311"/>
      <c r="U24" s="311"/>
      <c r="V24" s="311"/>
      <c r="W24" s="311"/>
      <c r="X24" s="311"/>
      <c r="Y24" s="311"/>
      <c r="AB24" s="311"/>
      <c r="AC24" s="311"/>
      <c r="AD24" s="311"/>
      <c r="AE24" s="311"/>
      <c r="AF24" s="311"/>
      <c r="AG24" s="311"/>
    </row>
    <row r="25" spans="1:33" ht="15" customHeight="1" thickBot="1" x14ac:dyDescent="0.3">
      <c r="A25" s="235" t="s">
        <v>15</v>
      </c>
      <c r="B25" s="258">
        <f>SUM(B20:B24)</f>
        <v>0</v>
      </c>
      <c r="C25" s="212">
        <f>SUM(C20:C24)</f>
        <v>4</v>
      </c>
      <c r="D25" s="234">
        <f>SUM(D20:D24)</f>
        <v>4350000</v>
      </c>
      <c r="E25" s="367">
        <f>SUM(E20:E24)</f>
        <v>312</v>
      </c>
      <c r="F25" s="174" t="str">
        <f t="shared" si="6"/>
        <v>13 jours 0 hrs 0 mins</v>
      </c>
      <c r="G25" s="181" t="s">
        <v>86</v>
      </c>
      <c r="H25" s="191">
        <f>'À FAIRE - Détails'!U210</f>
        <v>0</v>
      </c>
      <c r="I25" s="192">
        <f>'À FAIRE - Détails'!V210</f>
        <v>2</v>
      </c>
      <c r="J25" s="195">
        <f>'À FAIRE - Détails'!U218</f>
        <v>1800000</v>
      </c>
      <c r="K25" s="194">
        <f>'À FAIRE - Détails'!V218</f>
        <v>120</v>
      </c>
      <c r="L25" s="174" t="str">
        <f t="shared" si="3"/>
        <v>5 jours 0 hrs 0 mins</v>
      </c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</row>
    <row r="26" spans="1:33" ht="15" customHeight="1" x14ac:dyDescent="0.25">
      <c r="A26" s="311"/>
      <c r="B26" s="311"/>
      <c r="C26" s="311"/>
      <c r="D26" s="311"/>
      <c r="E26" s="311"/>
      <c r="F26" s="311"/>
      <c r="G26" s="190" t="s">
        <v>87</v>
      </c>
      <c r="H26" s="191">
        <f>'À FAIRE - Détails'!U220</f>
        <v>0</v>
      </c>
      <c r="I26" s="192">
        <f>'À FAIRE - Détails'!V220</f>
        <v>1</v>
      </c>
      <c r="J26" s="195">
        <f>'À FAIRE - Détails'!U227</f>
        <v>1350000</v>
      </c>
      <c r="K26" s="194">
        <f>'À FAIRE - Détails'!V227</f>
        <v>72</v>
      </c>
      <c r="L26" s="174" t="str">
        <f t="shared" si="3"/>
        <v>3 jours 0 hrs 0 mins</v>
      </c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</row>
    <row r="27" spans="1:33" ht="15" customHeight="1" x14ac:dyDescent="0.25">
      <c r="A27" s="311"/>
      <c r="B27" s="311"/>
      <c r="C27" s="311"/>
      <c r="D27" s="311"/>
      <c r="E27" s="311"/>
      <c r="F27" s="311"/>
      <c r="G27" s="190" t="s">
        <v>88</v>
      </c>
      <c r="H27" s="191">
        <f>'À FAIRE - Détails'!U229</f>
        <v>0</v>
      </c>
      <c r="I27" s="192">
        <f>'À FAIRE - Détails'!V229</f>
        <v>0</v>
      </c>
      <c r="J27" s="195">
        <f>'À FAIRE - Détails'!U235</f>
        <v>0</v>
      </c>
      <c r="K27" s="194">
        <f>'À FAIRE - Détails'!V235</f>
        <v>0</v>
      </c>
      <c r="L27" s="174" t="str">
        <f t="shared" si="3"/>
        <v>0 hrs 0 mins</v>
      </c>
      <c r="M27" s="311"/>
      <c r="U27" s="311"/>
      <c r="V27" s="311"/>
      <c r="W27" s="311"/>
      <c r="X27" s="311"/>
    </row>
    <row r="28" spans="1:33" ht="15" customHeight="1" x14ac:dyDescent="0.25">
      <c r="A28" s="312"/>
      <c r="B28" s="311"/>
      <c r="C28" s="311"/>
      <c r="D28" s="311"/>
      <c r="E28" s="311"/>
      <c r="F28" s="311"/>
      <c r="G28" s="190" t="s">
        <v>22</v>
      </c>
      <c r="H28" s="191">
        <f>'À FAIRE - Détails'!U237</f>
        <v>0</v>
      </c>
      <c r="I28" s="192">
        <f>'À FAIRE - Détails'!V237</f>
        <v>1</v>
      </c>
      <c r="J28" s="195">
        <f>'À FAIRE - Détails'!U243</f>
        <v>2000000</v>
      </c>
      <c r="K28" s="194">
        <f>'À FAIRE - Détails'!V243</f>
        <v>168</v>
      </c>
      <c r="L28" s="174" t="str">
        <f t="shared" si="3"/>
        <v>7 jours 0 hrs 0 mins</v>
      </c>
      <c r="M28" s="311"/>
      <c r="U28" s="311"/>
      <c r="V28" s="311"/>
      <c r="W28" s="311"/>
      <c r="X28" s="311"/>
    </row>
    <row r="29" spans="1:33" ht="15" customHeight="1" thickBot="1" x14ac:dyDescent="0.3">
      <c r="A29" s="311"/>
      <c r="B29" s="311"/>
      <c r="C29" s="311"/>
      <c r="D29" s="311"/>
      <c r="E29" s="311"/>
      <c r="F29" s="311"/>
      <c r="G29" s="231" t="s">
        <v>23</v>
      </c>
      <c r="H29" s="197">
        <f>'À FAIRE - Détails'!U245</f>
        <v>0</v>
      </c>
      <c r="I29" s="229">
        <f>'À FAIRE - Détails'!V245</f>
        <v>0</v>
      </c>
      <c r="J29" s="230">
        <f>'À FAIRE - Détails'!U251</f>
        <v>0</v>
      </c>
      <c r="K29" s="366">
        <f>'À FAIRE - Détails'!V251</f>
        <v>0</v>
      </c>
      <c r="L29" s="174" t="str">
        <f t="shared" si="3"/>
        <v>0 hrs 0 mins</v>
      </c>
      <c r="M29" s="311"/>
      <c r="R29" s="311"/>
      <c r="S29" s="311"/>
      <c r="T29" s="311"/>
      <c r="U29" s="311"/>
      <c r="V29" s="311"/>
      <c r="W29" s="311"/>
      <c r="X29" s="311"/>
    </row>
    <row r="30" spans="1:33" ht="15" customHeight="1" thickBot="1" x14ac:dyDescent="0.3">
      <c r="A30" s="311"/>
      <c r="B30" s="311"/>
      <c r="C30" s="311"/>
      <c r="D30" s="311"/>
      <c r="E30" s="311"/>
      <c r="F30" s="311"/>
      <c r="G30" s="210" t="s">
        <v>15</v>
      </c>
      <c r="H30" s="211">
        <f>SUM(H20:H29)</f>
        <v>0</v>
      </c>
      <c r="I30" s="212">
        <f>SUM(I20:I29)</f>
        <v>5</v>
      </c>
      <c r="J30" s="234">
        <f>SUM(J20:J29)</f>
        <v>5900000</v>
      </c>
      <c r="K30" s="367">
        <f>SUM(K20:K29)</f>
        <v>432</v>
      </c>
      <c r="L30" s="174" t="str">
        <f t="shared" si="3"/>
        <v>18 jours 0 hrs 0 mins</v>
      </c>
      <c r="M30" s="311"/>
      <c r="N30" s="311"/>
      <c r="P30" s="311"/>
      <c r="Q30" s="311"/>
      <c r="R30" s="311"/>
      <c r="S30" s="311"/>
      <c r="T30" s="311"/>
      <c r="U30" s="311"/>
      <c r="V30" s="311"/>
      <c r="W30" s="311"/>
      <c r="X30" s="311"/>
    </row>
    <row r="37" spans="13:38" ht="15" customHeight="1" x14ac:dyDescent="0.25">
      <c r="M37" s="313"/>
    </row>
    <row r="38" spans="13:38" ht="15" customHeight="1" x14ac:dyDescent="0.25">
      <c r="M38" s="314"/>
    </row>
    <row r="39" spans="13:38" ht="15" customHeight="1" x14ac:dyDescent="0.25">
      <c r="M39" s="315"/>
    </row>
    <row r="41" spans="13:38" ht="15" customHeight="1" x14ac:dyDescent="0.25">
      <c r="M41" s="313"/>
      <c r="V41" s="311"/>
      <c r="W41" s="311"/>
      <c r="X41" s="311"/>
    </row>
    <row r="42" spans="13:38" ht="15" customHeight="1" x14ac:dyDescent="0.25">
      <c r="V42" s="311"/>
      <c r="W42" s="311"/>
      <c r="X42" s="311"/>
    </row>
    <row r="43" spans="13:38" ht="15" customHeight="1" x14ac:dyDescent="0.25">
      <c r="M43" s="313"/>
    </row>
    <row r="44" spans="13:38" ht="15" customHeight="1" x14ac:dyDescent="0.25">
      <c r="M44" s="314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</row>
    <row r="45" spans="13:38" ht="15" customHeight="1" x14ac:dyDescent="0.25"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</row>
    <row r="46" spans="13:38" ht="15" customHeight="1" x14ac:dyDescent="0.25"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</row>
    <row r="47" spans="13:38" ht="15" customHeight="1" x14ac:dyDescent="0.25"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</row>
  </sheetData>
  <sheetProtection formatCells="0" formatColumns="0" formatRows="0" sort="0" autoFilter="0"/>
  <mergeCells count="20">
    <mergeCell ref="M18:R18"/>
    <mergeCell ref="S18:X18"/>
    <mergeCell ref="A18:F18"/>
    <mergeCell ref="G18:L18"/>
    <mergeCell ref="S1:U2"/>
    <mergeCell ref="A3:X4"/>
    <mergeCell ref="A5:F5"/>
    <mergeCell ref="G5:L5"/>
    <mergeCell ref="M5:R5"/>
    <mergeCell ref="S5:X5"/>
    <mergeCell ref="N1:R1"/>
    <mergeCell ref="N2:R2"/>
    <mergeCell ref="V1:X2"/>
    <mergeCell ref="G1:H2"/>
    <mergeCell ref="A1:A2"/>
    <mergeCell ref="I1:K2"/>
    <mergeCell ref="L1:M2"/>
    <mergeCell ref="D1:F2"/>
    <mergeCell ref="B2:C2"/>
    <mergeCell ref="B1:C1"/>
  </mergeCells>
  <dataValidations count="1">
    <dataValidation type="list" allowBlank="1" showInputMessage="1" showErrorMessage="1" sqref="B2:C2">
      <formula1>"seconds,minutes,hours,days,months,d/h/m"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0000"/>
  </sheetPr>
  <dimension ref="A1:AX58"/>
  <sheetViews>
    <sheetView zoomScaleNormal="100" workbookViewId="0">
      <selection activeCell="AN33" sqref="AN33"/>
    </sheetView>
  </sheetViews>
  <sheetFormatPr baseColWidth="10" defaultRowHeight="11.25" x14ac:dyDescent="0.25"/>
  <cols>
    <col min="1" max="1" width="4.7109375" style="322" customWidth="1"/>
    <col min="2" max="2" width="8.7109375" style="322" customWidth="1"/>
    <col min="3" max="3" width="4.7109375" style="322" customWidth="1"/>
    <col min="4" max="4" width="8.7109375" style="322" customWidth="1"/>
    <col min="5" max="5" width="4.7109375" style="322" customWidth="1"/>
    <col min="6" max="6" width="8.7109375" style="322" customWidth="1"/>
    <col min="7" max="7" width="4.7109375" style="322" customWidth="1"/>
    <col min="8" max="8" width="8.7109375" style="322" customWidth="1"/>
    <col min="9" max="9" width="4.7109375" style="322" customWidth="1"/>
    <col min="10" max="10" width="8.7109375" style="322" customWidth="1"/>
    <col min="11" max="11" width="4.7109375" style="322" customWidth="1"/>
    <col min="12" max="12" width="8.7109375" style="322" customWidth="1"/>
    <col min="13" max="13" width="4.7109375" style="322" customWidth="1"/>
    <col min="14" max="14" width="8.7109375" style="322" customWidth="1"/>
    <col min="15" max="15" width="4.7109375" style="322" customWidth="1"/>
    <col min="16" max="16" width="8.7109375" style="322" customWidth="1"/>
    <col min="17" max="17" width="4.7109375" style="322" customWidth="1"/>
    <col min="18" max="18" width="8.7109375" style="322" customWidth="1"/>
    <col min="19" max="19" width="4.7109375" style="322" customWidth="1"/>
    <col min="20" max="20" width="8.7109375" style="322" customWidth="1"/>
    <col min="21" max="21" width="4.7109375" style="322" customWidth="1"/>
    <col min="22" max="22" width="8.7109375" style="322" customWidth="1"/>
    <col min="23" max="23" width="4.7109375" style="322" customWidth="1"/>
    <col min="24" max="24" width="8.7109375" style="322" customWidth="1"/>
    <col min="25" max="25" width="4.7109375" style="322" customWidth="1"/>
    <col min="26" max="26" width="8.7109375" style="322" customWidth="1"/>
    <col min="27" max="27" width="4.7109375" style="322" customWidth="1"/>
    <col min="28" max="28" width="8.7109375" style="322" customWidth="1"/>
    <col min="29" max="29" width="4.7109375" style="322" customWidth="1"/>
    <col min="30" max="30" width="8.7109375" style="322" customWidth="1"/>
    <col min="31" max="31" width="4.7109375" style="322" customWidth="1"/>
    <col min="32" max="32" width="8.7109375" style="322" customWidth="1"/>
    <col min="33" max="33" width="4.7109375" style="322" customWidth="1"/>
    <col min="34" max="34" width="8.7109375" style="322" customWidth="1"/>
    <col min="35" max="35" width="4.7109375" style="322" customWidth="1"/>
    <col min="36" max="36" width="8.7109375" style="322" customWidth="1"/>
    <col min="37" max="37" width="4.7109375" style="322" customWidth="1"/>
    <col min="38" max="38" width="8.7109375" style="322" customWidth="1"/>
    <col min="39" max="39" width="4.7109375" style="322" customWidth="1"/>
    <col min="40" max="40" width="8.7109375" style="322" customWidth="1"/>
    <col min="41" max="41" width="4.7109375" style="322" customWidth="1"/>
    <col min="42" max="42" width="8.7109375" style="322" customWidth="1"/>
    <col min="43" max="43" width="4.7109375" style="322" customWidth="1"/>
    <col min="44" max="44" width="8.7109375" style="322" customWidth="1"/>
    <col min="45" max="45" width="4.7109375" style="322" customWidth="1"/>
    <col min="46" max="50" width="8.7109375" style="322" customWidth="1"/>
    <col min="51" max="16384" width="11.42578125" style="322"/>
  </cols>
  <sheetData>
    <row r="1" spans="1:27" ht="15.75" thickBot="1" x14ac:dyDescent="0.3">
      <c r="A1" s="508" t="s">
        <v>127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10"/>
      <c r="O1" s="508" t="s">
        <v>135</v>
      </c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10"/>
    </row>
    <row r="2" spans="1:27" ht="23.25" thickBot="1" x14ac:dyDescent="0.3">
      <c r="A2" s="321" t="s">
        <v>0</v>
      </c>
      <c r="B2" s="17" t="s">
        <v>105</v>
      </c>
      <c r="C2" s="17" t="s">
        <v>1</v>
      </c>
      <c r="D2" s="17" t="s">
        <v>106</v>
      </c>
      <c r="E2" s="17" t="s">
        <v>5</v>
      </c>
      <c r="F2" s="17" t="s">
        <v>131</v>
      </c>
      <c r="G2" s="17" t="s">
        <v>6</v>
      </c>
      <c r="H2" s="17" t="s">
        <v>108</v>
      </c>
      <c r="I2" s="17" t="s">
        <v>7</v>
      </c>
      <c r="J2" s="17" t="s">
        <v>109</v>
      </c>
      <c r="K2" s="17" t="s">
        <v>8</v>
      </c>
      <c r="L2" s="17" t="s">
        <v>132</v>
      </c>
      <c r="M2" s="17" t="s">
        <v>9</v>
      </c>
      <c r="O2" s="321" t="s">
        <v>0</v>
      </c>
      <c r="P2" s="17" t="s">
        <v>105</v>
      </c>
      <c r="Q2" s="17" t="s">
        <v>1</v>
      </c>
      <c r="R2" s="17" t="s">
        <v>106</v>
      </c>
      <c r="S2" s="17" t="s">
        <v>5</v>
      </c>
      <c r="T2" s="17" t="s">
        <v>131</v>
      </c>
      <c r="U2" s="17" t="s">
        <v>6</v>
      </c>
      <c r="V2" s="17" t="s">
        <v>108</v>
      </c>
      <c r="W2" s="17" t="s">
        <v>7</v>
      </c>
      <c r="X2" s="17" t="s">
        <v>109</v>
      </c>
      <c r="Y2" s="17" t="s">
        <v>8</v>
      </c>
      <c r="Z2" s="17" t="s">
        <v>132</v>
      </c>
      <c r="AA2" s="17" t="s">
        <v>9</v>
      </c>
    </row>
    <row r="3" spans="1:27" x14ac:dyDescent="0.25">
      <c r="A3" s="13">
        <v>0</v>
      </c>
      <c r="B3" s="2">
        <v>0</v>
      </c>
      <c r="C3" s="6">
        <v>0</v>
      </c>
      <c r="D3" s="4">
        <v>0</v>
      </c>
      <c r="E3" s="49">
        <v>0</v>
      </c>
      <c r="F3" s="2">
        <v>0</v>
      </c>
      <c r="G3" s="6">
        <v>0</v>
      </c>
      <c r="H3" s="4">
        <v>0</v>
      </c>
      <c r="I3" s="49">
        <v>0</v>
      </c>
      <c r="J3" s="2">
        <v>0</v>
      </c>
      <c r="K3" s="6">
        <v>0</v>
      </c>
      <c r="L3" s="4">
        <v>0</v>
      </c>
      <c r="M3" s="49">
        <v>0</v>
      </c>
      <c r="O3" s="13">
        <v>0</v>
      </c>
      <c r="P3" s="41">
        <f t="shared" ref="P3:AA3" si="0">B3</f>
        <v>0</v>
      </c>
      <c r="Q3" s="42">
        <f t="shared" si="0"/>
        <v>0</v>
      </c>
      <c r="R3" s="43">
        <f t="shared" si="0"/>
        <v>0</v>
      </c>
      <c r="S3" s="44">
        <f t="shared" si="0"/>
        <v>0</v>
      </c>
      <c r="T3" s="41">
        <f t="shared" si="0"/>
        <v>0</v>
      </c>
      <c r="U3" s="42">
        <f t="shared" si="0"/>
        <v>0</v>
      </c>
      <c r="V3" s="43">
        <f t="shared" si="0"/>
        <v>0</v>
      </c>
      <c r="W3" s="44">
        <f t="shared" si="0"/>
        <v>0</v>
      </c>
      <c r="X3" s="41">
        <f t="shared" si="0"/>
        <v>0</v>
      </c>
      <c r="Y3" s="42">
        <f t="shared" si="0"/>
        <v>0</v>
      </c>
      <c r="Z3" s="43">
        <f t="shared" si="0"/>
        <v>0</v>
      </c>
      <c r="AA3" s="44">
        <f t="shared" si="0"/>
        <v>0</v>
      </c>
    </row>
    <row r="4" spans="1:27" x14ac:dyDescent="0.25">
      <c r="A4" s="12">
        <v>1</v>
      </c>
      <c r="B4" s="11">
        <v>1</v>
      </c>
      <c r="C4" s="9">
        <v>2</v>
      </c>
      <c r="D4" s="10">
        <v>1</v>
      </c>
      <c r="E4" s="50">
        <v>2</v>
      </c>
      <c r="F4" s="11">
        <v>0</v>
      </c>
      <c r="G4" s="9">
        <v>0</v>
      </c>
      <c r="H4" s="10">
        <v>1</v>
      </c>
      <c r="I4" s="50">
        <v>1</v>
      </c>
      <c r="J4" s="11">
        <v>1</v>
      </c>
      <c r="K4" s="9">
        <v>1</v>
      </c>
      <c r="L4" s="10">
        <v>0</v>
      </c>
      <c r="M4" s="50">
        <v>0</v>
      </c>
      <c r="O4" s="12">
        <v>1</v>
      </c>
      <c r="P4" s="45">
        <f t="shared" ref="P4:P13" si="1">B4-B3</f>
        <v>1</v>
      </c>
      <c r="Q4" s="46">
        <f t="shared" ref="Q4:Q13" si="2">C4-C3</f>
        <v>2</v>
      </c>
      <c r="R4" s="47">
        <f t="shared" ref="R4:R13" si="3">D4-D3</f>
        <v>1</v>
      </c>
      <c r="S4" s="48">
        <f t="shared" ref="S4:S13" si="4">E4-E3</f>
        <v>2</v>
      </c>
      <c r="T4" s="45">
        <f t="shared" ref="T4:T13" si="5">F4-F3</f>
        <v>0</v>
      </c>
      <c r="U4" s="46">
        <f t="shared" ref="U4:U13" si="6">G4-G3</f>
        <v>0</v>
      </c>
      <c r="V4" s="47">
        <f t="shared" ref="V4:V13" si="7">H4-H3</f>
        <v>1</v>
      </c>
      <c r="W4" s="48">
        <f t="shared" ref="W4:W13" si="8">I4-I3</f>
        <v>1</v>
      </c>
      <c r="X4" s="45">
        <f t="shared" ref="X4:X13" si="9">J4-J3</f>
        <v>1</v>
      </c>
      <c r="Y4" s="46">
        <f t="shared" ref="Y4:Y13" si="10">K4-K3</f>
        <v>1</v>
      </c>
      <c r="Z4" s="47">
        <f t="shared" ref="Z4:Z13" si="11">L4-L3</f>
        <v>0</v>
      </c>
      <c r="AA4" s="48">
        <f t="shared" ref="AA4:AA13" si="12">M4-M3</f>
        <v>0</v>
      </c>
    </row>
    <row r="5" spans="1:27" x14ac:dyDescent="0.25">
      <c r="A5" s="13">
        <v>2</v>
      </c>
      <c r="B5" s="2">
        <v>2</v>
      </c>
      <c r="C5" s="6">
        <v>4</v>
      </c>
      <c r="D5" s="4">
        <v>2</v>
      </c>
      <c r="E5" s="49">
        <v>4</v>
      </c>
      <c r="F5" s="2">
        <v>0</v>
      </c>
      <c r="G5" s="6">
        <v>0</v>
      </c>
      <c r="H5" s="4">
        <v>1</v>
      </c>
      <c r="I5" s="49">
        <v>3</v>
      </c>
      <c r="J5" s="2">
        <v>1</v>
      </c>
      <c r="K5" s="6">
        <v>3</v>
      </c>
      <c r="L5" s="4">
        <v>0</v>
      </c>
      <c r="M5" s="49">
        <v>0</v>
      </c>
      <c r="O5" s="13">
        <v>2</v>
      </c>
      <c r="P5" s="45">
        <f t="shared" si="1"/>
        <v>1</v>
      </c>
      <c r="Q5" s="46">
        <f t="shared" si="2"/>
        <v>2</v>
      </c>
      <c r="R5" s="47">
        <f t="shared" si="3"/>
        <v>1</v>
      </c>
      <c r="S5" s="48">
        <f t="shared" si="4"/>
        <v>2</v>
      </c>
      <c r="T5" s="45">
        <f t="shared" si="5"/>
        <v>0</v>
      </c>
      <c r="U5" s="46">
        <f t="shared" si="6"/>
        <v>0</v>
      </c>
      <c r="V5" s="47">
        <f t="shared" si="7"/>
        <v>0</v>
      </c>
      <c r="W5" s="48">
        <f t="shared" si="8"/>
        <v>2</v>
      </c>
      <c r="X5" s="45">
        <f t="shared" si="9"/>
        <v>0</v>
      </c>
      <c r="Y5" s="46">
        <f t="shared" si="10"/>
        <v>2</v>
      </c>
      <c r="Z5" s="47">
        <f t="shared" si="11"/>
        <v>0</v>
      </c>
      <c r="AA5" s="48">
        <f t="shared" si="12"/>
        <v>0</v>
      </c>
    </row>
    <row r="6" spans="1:27" x14ac:dyDescent="0.25">
      <c r="A6" s="13">
        <v>3</v>
      </c>
      <c r="B6" s="1">
        <v>3</v>
      </c>
      <c r="C6" s="5">
        <v>6</v>
      </c>
      <c r="D6" s="3">
        <v>3</v>
      </c>
      <c r="E6" s="51">
        <v>6</v>
      </c>
      <c r="F6" s="1">
        <v>0</v>
      </c>
      <c r="G6" s="5">
        <v>0</v>
      </c>
      <c r="H6" s="3">
        <v>2</v>
      </c>
      <c r="I6" s="51">
        <v>6</v>
      </c>
      <c r="J6" s="1">
        <v>2</v>
      </c>
      <c r="K6" s="5">
        <v>6</v>
      </c>
      <c r="L6" s="3">
        <v>0</v>
      </c>
      <c r="M6" s="51">
        <v>0</v>
      </c>
      <c r="O6" s="13">
        <v>3</v>
      </c>
      <c r="P6" s="45">
        <f t="shared" si="1"/>
        <v>1</v>
      </c>
      <c r="Q6" s="46">
        <f t="shared" si="2"/>
        <v>2</v>
      </c>
      <c r="R6" s="47">
        <f t="shared" si="3"/>
        <v>1</v>
      </c>
      <c r="S6" s="48">
        <f t="shared" si="4"/>
        <v>2</v>
      </c>
      <c r="T6" s="45">
        <f t="shared" si="5"/>
        <v>0</v>
      </c>
      <c r="U6" s="46">
        <f t="shared" si="6"/>
        <v>0</v>
      </c>
      <c r="V6" s="47">
        <f t="shared" si="7"/>
        <v>1</v>
      </c>
      <c r="W6" s="48">
        <f t="shared" si="8"/>
        <v>3</v>
      </c>
      <c r="X6" s="45">
        <f t="shared" si="9"/>
        <v>1</v>
      </c>
      <c r="Y6" s="46">
        <f t="shared" si="10"/>
        <v>3</v>
      </c>
      <c r="Z6" s="47">
        <f t="shared" si="11"/>
        <v>0</v>
      </c>
      <c r="AA6" s="48">
        <f t="shared" si="12"/>
        <v>0</v>
      </c>
    </row>
    <row r="7" spans="1:27" x14ac:dyDescent="0.25">
      <c r="A7" s="13">
        <v>4</v>
      </c>
      <c r="B7" s="2">
        <v>4</v>
      </c>
      <c r="C7" s="6">
        <v>8</v>
      </c>
      <c r="D7" s="4">
        <v>4</v>
      </c>
      <c r="E7" s="49">
        <v>8</v>
      </c>
      <c r="F7" s="2">
        <v>0</v>
      </c>
      <c r="G7" s="6">
        <v>0</v>
      </c>
      <c r="H7" s="4">
        <v>2</v>
      </c>
      <c r="I7" s="49">
        <v>8</v>
      </c>
      <c r="J7" s="2">
        <v>2</v>
      </c>
      <c r="K7" s="6">
        <v>8</v>
      </c>
      <c r="L7" s="4">
        <v>0</v>
      </c>
      <c r="M7" s="49">
        <v>0</v>
      </c>
      <c r="O7" s="13">
        <v>4</v>
      </c>
      <c r="P7" s="45">
        <f t="shared" si="1"/>
        <v>1</v>
      </c>
      <c r="Q7" s="46">
        <f t="shared" si="2"/>
        <v>2</v>
      </c>
      <c r="R7" s="47">
        <f t="shared" si="3"/>
        <v>1</v>
      </c>
      <c r="S7" s="48">
        <f t="shared" si="4"/>
        <v>2</v>
      </c>
      <c r="T7" s="45">
        <f t="shared" si="5"/>
        <v>0</v>
      </c>
      <c r="U7" s="46">
        <f t="shared" si="6"/>
        <v>0</v>
      </c>
      <c r="V7" s="47">
        <f t="shared" si="7"/>
        <v>0</v>
      </c>
      <c r="W7" s="48">
        <f t="shared" si="8"/>
        <v>2</v>
      </c>
      <c r="X7" s="45">
        <f t="shared" si="9"/>
        <v>0</v>
      </c>
      <c r="Y7" s="46">
        <f t="shared" si="10"/>
        <v>2</v>
      </c>
      <c r="Z7" s="47">
        <f t="shared" si="11"/>
        <v>0</v>
      </c>
      <c r="AA7" s="48">
        <f t="shared" si="12"/>
        <v>0</v>
      </c>
    </row>
    <row r="8" spans="1:27" x14ac:dyDescent="0.25">
      <c r="A8" s="13">
        <v>5</v>
      </c>
      <c r="B8" s="1">
        <v>5</v>
      </c>
      <c r="C8" s="5">
        <v>10</v>
      </c>
      <c r="D8" s="3">
        <v>5</v>
      </c>
      <c r="E8" s="51">
        <v>10</v>
      </c>
      <c r="F8" s="1">
        <v>0</v>
      </c>
      <c r="G8" s="5">
        <v>0</v>
      </c>
      <c r="H8" s="3">
        <v>2</v>
      </c>
      <c r="I8" s="51">
        <v>9</v>
      </c>
      <c r="J8" s="1">
        <v>2</v>
      </c>
      <c r="K8" s="5">
        <v>9</v>
      </c>
      <c r="L8" s="3">
        <v>0</v>
      </c>
      <c r="M8" s="51">
        <v>0</v>
      </c>
      <c r="O8" s="13">
        <v>5</v>
      </c>
      <c r="P8" s="45">
        <f t="shared" si="1"/>
        <v>1</v>
      </c>
      <c r="Q8" s="46">
        <f t="shared" si="2"/>
        <v>2</v>
      </c>
      <c r="R8" s="47">
        <f t="shared" si="3"/>
        <v>1</v>
      </c>
      <c r="S8" s="48">
        <f t="shared" si="4"/>
        <v>2</v>
      </c>
      <c r="T8" s="45">
        <f t="shared" si="5"/>
        <v>0</v>
      </c>
      <c r="U8" s="46">
        <f t="shared" si="6"/>
        <v>0</v>
      </c>
      <c r="V8" s="47">
        <f t="shared" si="7"/>
        <v>0</v>
      </c>
      <c r="W8" s="48">
        <f t="shared" si="8"/>
        <v>1</v>
      </c>
      <c r="X8" s="45">
        <f t="shared" si="9"/>
        <v>0</v>
      </c>
      <c r="Y8" s="46">
        <f t="shared" si="10"/>
        <v>1</v>
      </c>
      <c r="Z8" s="47">
        <f t="shared" si="11"/>
        <v>0</v>
      </c>
      <c r="AA8" s="48">
        <f t="shared" si="12"/>
        <v>0</v>
      </c>
    </row>
    <row r="9" spans="1:27" x14ac:dyDescent="0.25">
      <c r="A9" s="13">
        <v>6</v>
      </c>
      <c r="B9" s="2">
        <v>6</v>
      </c>
      <c r="C9" s="6">
        <v>10</v>
      </c>
      <c r="D9" s="4">
        <v>6</v>
      </c>
      <c r="E9" s="49">
        <v>10</v>
      </c>
      <c r="F9" s="2">
        <v>0</v>
      </c>
      <c r="G9" s="6">
        <v>0</v>
      </c>
      <c r="H9" s="4">
        <v>2</v>
      </c>
      <c r="I9" s="49">
        <v>10</v>
      </c>
      <c r="J9" s="2">
        <v>2</v>
      </c>
      <c r="K9" s="6">
        <v>10</v>
      </c>
      <c r="L9" s="4">
        <v>0</v>
      </c>
      <c r="M9" s="49">
        <v>0</v>
      </c>
      <c r="O9" s="13">
        <v>6</v>
      </c>
      <c r="P9" s="45">
        <f t="shared" si="1"/>
        <v>1</v>
      </c>
      <c r="Q9" s="46">
        <f t="shared" si="2"/>
        <v>0</v>
      </c>
      <c r="R9" s="47">
        <f t="shared" si="3"/>
        <v>1</v>
      </c>
      <c r="S9" s="48">
        <f t="shared" si="4"/>
        <v>0</v>
      </c>
      <c r="T9" s="45">
        <f t="shared" si="5"/>
        <v>0</v>
      </c>
      <c r="U9" s="46">
        <f t="shared" si="6"/>
        <v>0</v>
      </c>
      <c r="V9" s="47">
        <f t="shared" si="7"/>
        <v>0</v>
      </c>
      <c r="W9" s="48">
        <f t="shared" si="8"/>
        <v>1</v>
      </c>
      <c r="X9" s="45">
        <f t="shared" si="9"/>
        <v>0</v>
      </c>
      <c r="Y9" s="46">
        <f t="shared" si="10"/>
        <v>1</v>
      </c>
      <c r="Z9" s="47">
        <f t="shared" si="11"/>
        <v>0</v>
      </c>
      <c r="AA9" s="48">
        <f t="shared" si="12"/>
        <v>0</v>
      </c>
    </row>
    <row r="10" spans="1:27" x14ac:dyDescent="0.25">
      <c r="A10" s="13">
        <v>7</v>
      </c>
      <c r="B10" s="1">
        <v>6</v>
      </c>
      <c r="C10" s="5">
        <v>11</v>
      </c>
      <c r="D10" s="3">
        <v>6</v>
      </c>
      <c r="E10" s="51">
        <v>11</v>
      </c>
      <c r="F10" s="1">
        <v>0</v>
      </c>
      <c r="G10" s="5">
        <v>0</v>
      </c>
      <c r="H10" s="3">
        <v>2</v>
      </c>
      <c r="I10" s="51">
        <v>11</v>
      </c>
      <c r="J10" s="1">
        <v>2</v>
      </c>
      <c r="K10" s="5">
        <v>11</v>
      </c>
      <c r="L10" s="3">
        <v>1</v>
      </c>
      <c r="M10" s="51">
        <v>2</v>
      </c>
      <c r="O10" s="13">
        <v>7</v>
      </c>
      <c r="P10" s="45">
        <f t="shared" si="1"/>
        <v>0</v>
      </c>
      <c r="Q10" s="46">
        <f t="shared" si="2"/>
        <v>1</v>
      </c>
      <c r="R10" s="47">
        <f t="shared" si="3"/>
        <v>0</v>
      </c>
      <c r="S10" s="48">
        <f t="shared" si="4"/>
        <v>1</v>
      </c>
      <c r="T10" s="45">
        <f t="shared" si="5"/>
        <v>0</v>
      </c>
      <c r="U10" s="46">
        <f t="shared" si="6"/>
        <v>0</v>
      </c>
      <c r="V10" s="47">
        <f t="shared" si="7"/>
        <v>0</v>
      </c>
      <c r="W10" s="48">
        <f t="shared" si="8"/>
        <v>1</v>
      </c>
      <c r="X10" s="45">
        <f t="shared" si="9"/>
        <v>0</v>
      </c>
      <c r="Y10" s="46">
        <f t="shared" si="10"/>
        <v>1</v>
      </c>
      <c r="Z10" s="47">
        <f t="shared" si="11"/>
        <v>1</v>
      </c>
      <c r="AA10" s="48">
        <f t="shared" si="12"/>
        <v>2</v>
      </c>
    </row>
    <row r="11" spans="1:27" x14ac:dyDescent="0.25">
      <c r="A11" s="13">
        <v>8</v>
      </c>
      <c r="B11" s="2">
        <v>6</v>
      </c>
      <c r="C11" s="6">
        <v>11</v>
      </c>
      <c r="D11" s="4">
        <v>6</v>
      </c>
      <c r="E11" s="49">
        <v>11</v>
      </c>
      <c r="F11" s="2">
        <v>1</v>
      </c>
      <c r="G11" s="6">
        <v>3</v>
      </c>
      <c r="H11" s="4">
        <v>3</v>
      </c>
      <c r="I11" s="49">
        <v>11</v>
      </c>
      <c r="J11" s="2">
        <v>3</v>
      </c>
      <c r="K11" s="6">
        <v>11</v>
      </c>
      <c r="L11" s="4">
        <v>1</v>
      </c>
      <c r="M11" s="49">
        <v>4</v>
      </c>
      <c r="O11" s="13">
        <v>8</v>
      </c>
      <c r="P11" s="45">
        <f t="shared" si="1"/>
        <v>0</v>
      </c>
      <c r="Q11" s="46">
        <f t="shared" si="2"/>
        <v>0</v>
      </c>
      <c r="R11" s="47">
        <f t="shared" si="3"/>
        <v>0</v>
      </c>
      <c r="S11" s="48">
        <f t="shared" si="4"/>
        <v>0</v>
      </c>
      <c r="T11" s="45">
        <f t="shared" si="5"/>
        <v>1</v>
      </c>
      <c r="U11" s="46">
        <f t="shared" si="6"/>
        <v>3</v>
      </c>
      <c r="V11" s="47">
        <f t="shared" si="7"/>
        <v>1</v>
      </c>
      <c r="W11" s="48">
        <f t="shared" si="8"/>
        <v>0</v>
      </c>
      <c r="X11" s="45">
        <f t="shared" si="9"/>
        <v>1</v>
      </c>
      <c r="Y11" s="46">
        <f t="shared" si="10"/>
        <v>0</v>
      </c>
      <c r="Z11" s="47">
        <f t="shared" si="11"/>
        <v>0</v>
      </c>
      <c r="AA11" s="48">
        <f t="shared" si="12"/>
        <v>2</v>
      </c>
    </row>
    <row r="12" spans="1:27" x14ac:dyDescent="0.25">
      <c r="A12" s="13">
        <v>9</v>
      </c>
      <c r="B12" s="1">
        <v>6</v>
      </c>
      <c r="C12" s="5">
        <v>11</v>
      </c>
      <c r="D12" s="3">
        <v>6</v>
      </c>
      <c r="E12" s="51">
        <v>11</v>
      </c>
      <c r="F12" s="1">
        <v>2</v>
      </c>
      <c r="G12" s="5">
        <v>6</v>
      </c>
      <c r="H12" s="3">
        <v>4</v>
      </c>
      <c r="I12" s="51">
        <v>11</v>
      </c>
      <c r="J12" s="1">
        <v>4</v>
      </c>
      <c r="K12" s="5">
        <v>11</v>
      </c>
      <c r="L12" s="3">
        <v>1</v>
      </c>
      <c r="M12" s="51">
        <v>6</v>
      </c>
      <c r="O12" s="13">
        <v>9</v>
      </c>
      <c r="P12" s="45">
        <f t="shared" si="1"/>
        <v>0</v>
      </c>
      <c r="Q12" s="46">
        <f t="shared" si="2"/>
        <v>0</v>
      </c>
      <c r="R12" s="47">
        <f t="shared" si="3"/>
        <v>0</v>
      </c>
      <c r="S12" s="48">
        <f t="shared" si="4"/>
        <v>0</v>
      </c>
      <c r="T12" s="45">
        <f t="shared" si="5"/>
        <v>1</v>
      </c>
      <c r="U12" s="46">
        <f t="shared" si="6"/>
        <v>3</v>
      </c>
      <c r="V12" s="47">
        <f t="shared" si="7"/>
        <v>1</v>
      </c>
      <c r="W12" s="48">
        <f t="shared" si="8"/>
        <v>0</v>
      </c>
      <c r="X12" s="45">
        <f t="shared" si="9"/>
        <v>1</v>
      </c>
      <c r="Y12" s="46">
        <f t="shared" si="10"/>
        <v>0</v>
      </c>
      <c r="Z12" s="47">
        <f t="shared" si="11"/>
        <v>0</v>
      </c>
      <c r="AA12" s="48">
        <f t="shared" si="12"/>
        <v>2</v>
      </c>
    </row>
    <row r="13" spans="1:27" x14ac:dyDescent="0.25">
      <c r="A13" s="19">
        <v>10</v>
      </c>
      <c r="B13" s="22">
        <v>7</v>
      </c>
      <c r="C13" s="20">
        <v>11</v>
      </c>
      <c r="D13" s="21">
        <v>7</v>
      </c>
      <c r="E13" s="52">
        <v>11</v>
      </c>
      <c r="F13" s="22">
        <v>3</v>
      </c>
      <c r="G13" s="20">
        <v>6</v>
      </c>
      <c r="H13" s="21">
        <v>4</v>
      </c>
      <c r="I13" s="52">
        <v>11</v>
      </c>
      <c r="J13" s="22">
        <v>4</v>
      </c>
      <c r="K13" s="20">
        <v>11</v>
      </c>
      <c r="L13" s="21">
        <v>1</v>
      </c>
      <c r="M13" s="52">
        <v>6</v>
      </c>
      <c r="O13" s="19">
        <v>10</v>
      </c>
      <c r="P13" s="45">
        <f t="shared" si="1"/>
        <v>1</v>
      </c>
      <c r="Q13" s="46">
        <f t="shared" si="2"/>
        <v>0</v>
      </c>
      <c r="R13" s="47">
        <f t="shared" si="3"/>
        <v>1</v>
      </c>
      <c r="S13" s="48">
        <f t="shared" si="4"/>
        <v>0</v>
      </c>
      <c r="T13" s="45">
        <f t="shared" si="5"/>
        <v>1</v>
      </c>
      <c r="U13" s="46">
        <f t="shared" si="6"/>
        <v>0</v>
      </c>
      <c r="V13" s="47">
        <f t="shared" si="7"/>
        <v>0</v>
      </c>
      <c r="W13" s="48">
        <f t="shared" si="8"/>
        <v>0</v>
      </c>
      <c r="X13" s="45">
        <f t="shared" si="9"/>
        <v>0</v>
      </c>
      <c r="Y13" s="46">
        <f t="shared" si="10"/>
        <v>0</v>
      </c>
      <c r="Z13" s="47">
        <f t="shared" si="11"/>
        <v>0</v>
      </c>
      <c r="AA13" s="48">
        <f t="shared" si="12"/>
        <v>0</v>
      </c>
    </row>
    <row r="15" spans="1:27" ht="12" thickBot="1" x14ac:dyDescent="0.3"/>
    <row r="16" spans="1:27" ht="15.75" customHeight="1" thickBot="1" x14ac:dyDescent="0.3">
      <c r="A16" s="508" t="s">
        <v>129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20"/>
      <c r="M16" s="508" t="s">
        <v>146</v>
      </c>
      <c r="N16" s="519"/>
      <c r="O16" s="519"/>
      <c r="P16" s="519"/>
      <c r="Q16" s="519"/>
      <c r="R16" s="519"/>
      <c r="S16" s="519"/>
      <c r="T16" s="519"/>
      <c r="U16" s="519"/>
      <c r="V16" s="519"/>
      <c r="W16" s="520"/>
    </row>
    <row r="17" spans="1:50" ht="23.25" thickBot="1" x14ac:dyDescent="0.3">
      <c r="A17" s="321" t="s">
        <v>0</v>
      </c>
      <c r="B17" s="17" t="s">
        <v>112</v>
      </c>
      <c r="C17" s="17" t="s">
        <v>1</v>
      </c>
      <c r="D17" s="39" t="s">
        <v>111</v>
      </c>
      <c r="E17" s="39" t="s">
        <v>5</v>
      </c>
      <c r="F17" s="17" t="s">
        <v>113</v>
      </c>
      <c r="G17" s="17" t="s">
        <v>6</v>
      </c>
      <c r="H17" s="17" t="s">
        <v>114</v>
      </c>
      <c r="I17" s="17" t="s">
        <v>7</v>
      </c>
      <c r="J17" s="17" t="s">
        <v>130</v>
      </c>
      <c r="K17" s="17" t="s">
        <v>8</v>
      </c>
      <c r="M17" s="321" t="s">
        <v>0</v>
      </c>
      <c r="N17" s="17" t="s">
        <v>112</v>
      </c>
      <c r="O17" s="17" t="s">
        <v>1</v>
      </c>
      <c r="P17" s="39" t="s">
        <v>111</v>
      </c>
      <c r="Q17" s="39" t="s">
        <v>5</v>
      </c>
      <c r="R17" s="17" t="s">
        <v>113</v>
      </c>
      <c r="S17" s="17" t="s">
        <v>6</v>
      </c>
      <c r="T17" s="17" t="s">
        <v>114</v>
      </c>
      <c r="U17" s="17" t="s">
        <v>7</v>
      </c>
      <c r="V17" s="17" t="s">
        <v>130</v>
      </c>
      <c r="W17" s="17" t="s">
        <v>8</v>
      </c>
    </row>
    <row r="18" spans="1:50" x14ac:dyDescent="0.25">
      <c r="A18" s="13">
        <v>0</v>
      </c>
      <c r="B18" s="2">
        <v>0</v>
      </c>
      <c r="C18" s="6">
        <v>0</v>
      </c>
      <c r="D18" s="4">
        <v>0</v>
      </c>
      <c r="E18" s="49">
        <v>0</v>
      </c>
      <c r="F18" s="2">
        <v>0</v>
      </c>
      <c r="G18" s="6">
        <v>0</v>
      </c>
      <c r="H18" s="4">
        <v>0</v>
      </c>
      <c r="I18" s="49">
        <v>0</v>
      </c>
      <c r="J18" s="2">
        <v>0</v>
      </c>
      <c r="K18" s="6">
        <v>0</v>
      </c>
      <c r="M18" s="13">
        <v>0</v>
      </c>
      <c r="N18" s="41">
        <f t="shared" ref="N18:W18" si="13">B18</f>
        <v>0</v>
      </c>
      <c r="O18" s="42">
        <f t="shared" si="13"/>
        <v>0</v>
      </c>
      <c r="P18" s="148">
        <f t="shared" si="13"/>
        <v>0</v>
      </c>
      <c r="Q18" s="44">
        <f t="shared" si="13"/>
        <v>0</v>
      </c>
      <c r="R18" s="41">
        <f t="shared" si="13"/>
        <v>0</v>
      </c>
      <c r="S18" s="42">
        <f t="shared" si="13"/>
        <v>0</v>
      </c>
      <c r="T18" s="43">
        <f t="shared" si="13"/>
        <v>0</v>
      </c>
      <c r="U18" s="44">
        <f t="shared" si="13"/>
        <v>0</v>
      </c>
      <c r="V18" s="41">
        <f t="shared" si="13"/>
        <v>0</v>
      </c>
      <c r="W18" s="42">
        <f t="shared" si="13"/>
        <v>0</v>
      </c>
    </row>
    <row r="19" spans="1:50" x14ac:dyDescent="0.25">
      <c r="A19" s="12">
        <v>1</v>
      </c>
      <c r="B19" s="11">
        <v>1</v>
      </c>
      <c r="C19" s="9">
        <v>3</v>
      </c>
      <c r="D19" s="149">
        <v>0</v>
      </c>
      <c r="E19" s="150">
        <v>0</v>
      </c>
      <c r="F19" s="11">
        <v>1</v>
      </c>
      <c r="G19" s="9">
        <v>1</v>
      </c>
      <c r="H19" s="10">
        <v>0</v>
      </c>
      <c r="I19" s="50">
        <v>0</v>
      </c>
      <c r="J19" s="11">
        <v>0</v>
      </c>
      <c r="K19" s="9">
        <v>0</v>
      </c>
      <c r="M19" s="12">
        <v>1</v>
      </c>
      <c r="N19" s="45">
        <f t="shared" ref="N19:N28" si="14">B19-B18</f>
        <v>1</v>
      </c>
      <c r="O19" s="46">
        <f t="shared" ref="O19:O28" si="15">C19-C18</f>
        <v>3</v>
      </c>
      <c r="P19" s="151">
        <f t="shared" ref="P19:P28" si="16">D19-D18</f>
        <v>0</v>
      </c>
      <c r="Q19" s="152">
        <f t="shared" ref="Q19:Q28" si="17">E19-E18</f>
        <v>0</v>
      </c>
      <c r="R19" s="45">
        <f t="shared" ref="R19:R28" si="18">F19-F18</f>
        <v>1</v>
      </c>
      <c r="S19" s="46">
        <f t="shared" ref="S19:S28" si="19">G19-G18</f>
        <v>1</v>
      </c>
      <c r="T19" s="47">
        <f t="shared" ref="T19:T28" si="20">H19-H18</f>
        <v>0</v>
      </c>
      <c r="U19" s="48">
        <f t="shared" ref="U19:U28" si="21">I19-I18</f>
        <v>0</v>
      </c>
      <c r="V19" s="45">
        <f t="shared" ref="V19:V28" si="22">J19-J18</f>
        <v>0</v>
      </c>
      <c r="W19" s="46">
        <f t="shared" ref="W19:W28" si="23">K19-K18</f>
        <v>0</v>
      </c>
    </row>
    <row r="20" spans="1:50" x14ac:dyDescent="0.25">
      <c r="A20" s="13">
        <v>2</v>
      </c>
      <c r="B20" s="2">
        <v>2</v>
      </c>
      <c r="C20" s="6">
        <v>4</v>
      </c>
      <c r="D20" s="4">
        <v>0</v>
      </c>
      <c r="E20" s="49">
        <v>0</v>
      </c>
      <c r="F20" s="2">
        <v>1</v>
      </c>
      <c r="G20" s="6">
        <v>2</v>
      </c>
      <c r="H20" s="4">
        <v>0</v>
      </c>
      <c r="I20" s="49">
        <v>0</v>
      </c>
      <c r="J20" s="2">
        <v>0</v>
      </c>
      <c r="K20" s="6">
        <v>0</v>
      </c>
      <c r="M20" s="13">
        <v>2</v>
      </c>
      <c r="N20" s="45">
        <f t="shared" si="14"/>
        <v>1</v>
      </c>
      <c r="O20" s="46">
        <f t="shared" si="15"/>
        <v>1</v>
      </c>
      <c r="P20" s="151">
        <f t="shared" si="16"/>
        <v>0</v>
      </c>
      <c r="Q20" s="152">
        <f t="shared" si="17"/>
        <v>0</v>
      </c>
      <c r="R20" s="45">
        <f t="shared" si="18"/>
        <v>0</v>
      </c>
      <c r="S20" s="46">
        <f t="shared" si="19"/>
        <v>1</v>
      </c>
      <c r="T20" s="47">
        <f t="shared" si="20"/>
        <v>0</v>
      </c>
      <c r="U20" s="48">
        <f t="shared" si="21"/>
        <v>0</v>
      </c>
      <c r="V20" s="45">
        <f t="shared" si="22"/>
        <v>0</v>
      </c>
      <c r="W20" s="46">
        <f t="shared" si="23"/>
        <v>0</v>
      </c>
    </row>
    <row r="21" spans="1:50" x14ac:dyDescent="0.25">
      <c r="A21" s="13">
        <v>3</v>
      </c>
      <c r="B21" s="1">
        <v>2</v>
      </c>
      <c r="C21" s="5">
        <v>5</v>
      </c>
      <c r="D21" s="3">
        <v>0</v>
      </c>
      <c r="E21" s="51">
        <v>0</v>
      </c>
      <c r="F21" s="1">
        <v>2</v>
      </c>
      <c r="G21" s="5">
        <v>3</v>
      </c>
      <c r="H21" s="3">
        <v>1</v>
      </c>
      <c r="I21" s="51">
        <v>1</v>
      </c>
      <c r="J21" s="1">
        <v>0</v>
      </c>
      <c r="K21" s="5">
        <v>0</v>
      </c>
      <c r="M21" s="13">
        <v>3</v>
      </c>
      <c r="N21" s="45">
        <f t="shared" si="14"/>
        <v>0</v>
      </c>
      <c r="O21" s="46">
        <f t="shared" si="15"/>
        <v>1</v>
      </c>
      <c r="P21" s="151">
        <f t="shared" si="16"/>
        <v>0</v>
      </c>
      <c r="Q21" s="152">
        <f t="shared" si="17"/>
        <v>0</v>
      </c>
      <c r="R21" s="45">
        <f t="shared" si="18"/>
        <v>1</v>
      </c>
      <c r="S21" s="46">
        <f t="shared" si="19"/>
        <v>1</v>
      </c>
      <c r="T21" s="47">
        <f t="shared" si="20"/>
        <v>1</v>
      </c>
      <c r="U21" s="48">
        <f t="shared" si="21"/>
        <v>1</v>
      </c>
      <c r="V21" s="45">
        <f t="shared" si="22"/>
        <v>0</v>
      </c>
      <c r="W21" s="46">
        <f t="shared" si="23"/>
        <v>0</v>
      </c>
    </row>
    <row r="22" spans="1:50" x14ac:dyDescent="0.25">
      <c r="A22" s="13">
        <v>4</v>
      </c>
      <c r="B22" s="2">
        <v>3</v>
      </c>
      <c r="C22" s="6">
        <v>6</v>
      </c>
      <c r="D22" s="4">
        <v>0</v>
      </c>
      <c r="E22" s="49">
        <v>0</v>
      </c>
      <c r="F22" s="2">
        <v>2</v>
      </c>
      <c r="G22" s="6">
        <v>4</v>
      </c>
      <c r="H22" s="4">
        <v>1</v>
      </c>
      <c r="I22" s="49">
        <v>2</v>
      </c>
      <c r="J22" s="2">
        <v>0</v>
      </c>
      <c r="K22" s="6">
        <v>0</v>
      </c>
      <c r="M22" s="13">
        <v>4</v>
      </c>
      <c r="N22" s="45">
        <f t="shared" si="14"/>
        <v>1</v>
      </c>
      <c r="O22" s="46">
        <f t="shared" si="15"/>
        <v>1</v>
      </c>
      <c r="P22" s="151">
        <f t="shared" si="16"/>
        <v>0</v>
      </c>
      <c r="Q22" s="152">
        <f t="shared" si="17"/>
        <v>0</v>
      </c>
      <c r="R22" s="45">
        <f t="shared" si="18"/>
        <v>0</v>
      </c>
      <c r="S22" s="46">
        <f t="shared" si="19"/>
        <v>1</v>
      </c>
      <c r="T22" s="47">
        <f t="shared" si="20"/>
        <v>0</v>
      </c>
      <c r="U22" s="48">
        <f t="shared" si="21"/>
        <v>1</v>
      </c>
      <c r="V22" s="45">
        <f t="shared" si="22"/>
        <v>0</v>
      </c>
      <c r="W22" s="46">
        <f t="shared" si="23"/>
        <v>0</v>
      </c>
    </row>
    <row r="23" spans="1:50" x14ac:dyDescent="0.25">
      <c r="A23" s="13">
        <v>5</v>
      </c>
      <c r="B23" s="1">
        <v>3</v>
      </c>
      <c r="C23" s="5">
        <v>7</v>
      </c>
      <c r="D23" s="3">
        <v>0</v>
      </c>
      <c r="E23" s="51">
        <v>0</v>
      </c>
      <c r="F23" s="1">
        <v>3</v>
      </c>
      <c r="G23" s="5">
        <v>5</v>
      </c>
      <c r="H23" s="3">
        <v>1</v>
      </c>
      <c r="I23" s="51">
        <v>3</v>
      </c>
      <c r="J23" s="1">
        <v>1</v>
      </c>
      <c r="K23" s="5">
        <v>1</v>
      </c>
      <c r="M23" s="13">
        <v>5</v>
      </c>
      <c r="N23" s="45">
        <f t="shared" si="14"/>
        <v>0</v>
      </c>
      <c r="O23" s="46">
        <f t="shared" si="15"/>
        <v>1</v>
      </c>
      <c r="P23" s="151">
        <f t="shared" si="16"/>
        <v>0</v>
      </c>
      <c r="Q23" s="152">
        <f t="shared" si="17"/>
        <v>0</v>
      </c>
      <c r="R23" s="45">
        <f t="shared" si="18"/>
        <v>1</v>
      </c>
      <c r="S23" s="46">
        <f t="shared" si="19"/>
        <v>1</v>
      </c>
      <c r="T23" s="47">
        <f t="shared" si="20"/>
        <v>0</v>
      </c>
      <c r="U23" s="48">
        <f t="shared" si="21"/>
        <v>1</v>
      </c>
      <c r="V23" s="45">
        <f t="shared" si="22"/>
        <v>1</v>
      </c>
      <c r="W23" s="46">
        <f t="shared" si="23"/>
        <v>1</v>
      </c>
    </row>
    <row r="24" spans="1:50" x14ac:dyDescent="0.25">
      <c r="A24" s="13">
        <v>6</v>
      </c>
      <c r="B24" s="2">
        <v>3</v>
      </c>
      <c r="C24" s="6">
        <v>8</v>
      </c>
      <c r="D24" s="4">
        <v>0</v>
      </c>
      <c r="E24" s="49">
        <v>0</v>
      </c>
      <c r="F24" s="2">
        <v>3</v>
      </c>
      <c r="G24" s="6">
        <v>6</v>
      </c>
      <c r="H24" s="4">
        <v>1</v>
      </c>
      <c r="I24" s="49">
        <v>4</v>
      </c>
      <c r="J24" s="2">
        <v>1</v>
      </c>
      <c r="K24" s="6">
        <v>2</v>
      </c>
      <c r="M24" s="13">
        <v>6</v>
      </c>
      <c r="N24" s="45">
        <f t="shared" si="14"/>
        <v>0</v>
      </c>
      <c r="O24" s="46">
        <f t="shared" si="15"/>
        <v>1</v>
      </c>
      <c r="P24" s="151">
        <f t="shared" si="16"/>
        <v>0</v>
      </c>
      <c r="Q24" s="152">
        <f t="shared" si="17"/>
        <v>0</v>
      </c>
      <c r="R24" s="45">
        <f t="shared" si="18"/>
        <v>0</v>
      </c>
      <c r="S24" s="46">
        <f t="shared" si="19"/>
        <v>1</v>
      </c>
      <c r="T24" s="47">
        <f t="shared" si="20"/>
        <v>0</v>
      </c>
      <c r="U24" s="48">
        <f t="shared" si="21"/>
        <v>1</v>
      </c>
      <c r="V24" s="45">
        <f t="shared" si="22"/>
        <v>0</v>
      </c>
      <c r="W24" s="46">
        <f t="shared" si="23"/>
        <v>1</v>
      </c>
    </row>
    <row r="25" spans="1:50" x14ac:dyDescent="0.25">
      <c r="A25" s="13">
        <v>7</v>
      </c>
      <c r="B25" s="1">
        <v>4</v>
      </c>
      <c r="C25" s="5">
        <v>9</v>
      </c>
      <c r="D25" s="3">
        <v>1</v>
      </c>
      <c r="E25" s="51">
        <v>2</v>
      </c>
      <c r="F25" s="1">
        <v>4</v>
      </c>
      <c r="G25" s="5">
        <v>6</v>
      </c>
      <c r="H25" s="3">
        <v>1</v>
      </c>
      <c r="I25" s="51">
        <v>5</v>
      </c>
      <c r="J25" s="1">
        <v>1</v>
      </c>
      <c r="K25" s="5">
        <v>3</v>
      </c>
      <c r="M25" s="13">
        <v>7</v>
      </c>
      <c r="N25" s="45">
        <f t="shared" si="14"/>
        <v>1</v>
      </c>
      <c r="O25" s="46">
        <f t="shared" si="15"/>
        <v>1</v>
      </c>
      <c r="P25" s="151">
        <f t="shared" si="16"/>
        <v>1</v>
      </c>
      <c r="Q25" s="152">
        <f t="shared" si="17"/>
        <v>2</v>
      </c>
      <c r="R25" s="45">
        <f t="shared" si="18"/>
        <v>1</v>
      </c>
      <c r="S25" s="46">
        <f t="shared" si="19"/>
        <v>0</v>
      </c>
      <c r="T25" s="47">
        <f t="shared" si="20"/>
        <v>0</v>
      </c>
      <c r="U25" s="48">
        <f t="shared" si="21"/>
        <v>1</v>
      </c>
      <c r="V25" s="45">
        <f t="shared" si="22"/>
        <v>0</v>
      </c>
      <c r="W25" s="46">
        <f t="shared" si="23"/>
        <v>1</v>
      </c>
    </row>
    <row r="26" spans="1:50" x14ac:dyDescent="0.25">
      <c r="A26" s="13">
        <v>8</v>
      </c>
      <c r="B26" s="2">
        <v>4</v>
      </c>
      <c r="C26" s="6">
        <v>10</v>
      </c>
      <c r="D26" s="4">
        <v>2</v>
      </c>
      <c r="E26" s="49">
        <v>4</v>
      </c>
      <c r="F26" s="2">
        <v>4</v>
      </c>
      <c r="G26" s="6">
        <v>6</v>
      </c>
      <c r="H26" s="4">
        <v>1</v>
      </c>
      <c r="I26" s="49">
        <v>6</v>
      </c>
      <c r="J26" s="2">
        <v>1</v>
      </c>
      <c r="K26" s="6">
        <v>3</v>
      </c>
      <c r="M26" s="13">
        <v>8</v>
      </c>
      <c r="N26" s="45">
        <f t="shared" si="14"/>
        <v>0</v>
      </c>
      <c r="O26" s="46">
        <f t="shared" si="15"/>
        <v>1</v>
      </c>
      <c r="P26" s="151">
        <f t="shared" si="16"/>
        <v>1</v>
      </c>
      <c r="Q26" s="152">
        <f t="shared" si="17"/>
        <v>2</v>
      </c>
      <c r="R26" s="45">
        <f t="shared" si="18"/>
        <v>0</v>
      </c>
      <c r="S26" s="46">
        <f t="shared" si="19"/>
        <v>0</v>
      </c>
      <c r="T26" s="47">
        <f t="shared" si="20"/>
        <v>0</v>
      </c>
      <c r="U26" s="48">
        <f t="shared" si="21"/>
        <v>1</v>
      </c>
      <c r="V26" s="45">
        <f t="shared" si="22"/>
        <v>0</v>
      </c>
      <c r="W26" s="46">
        <f t="shared" si="23"/>
        <v>0</v>
      </c>
    </row>
    <row r="27" spans="1:50" x14ac:dyDescent="0.25">
      <c r="A27" s="13">
        <v>9</v>
      </c>
      <c r="B27" s="1">
        <v>4</v>
      </c>
      <c r="C27" s="5">
        <v>10</v>
      </c>
      <c r="D27" s="3">
        <v>2</v>
      </c>
      <c r="E27" s="51">
        <v>4</v>
      </c>
      <c r="F27" s="1">
        <v>4</v>
      </c>
      <c r="G27" s="5">
        <v>7</v>
      </c>
      <c r="H27" s="3">
        <v>1</v>
      </c>
      <c r="I27" s="51">
        <v>7</v>
      </c>
      <c r="J27" s="1">
        <v>1</v>
      </c>
      <c r="K27" s="5">
        <v>4</v>
      </c>
      <c r="M27" s="13">
        <v>9</v>
      </c>
      <c r="N27" s="45">
        <f t="shared" si="14"/>
        <v>0</v>
      </c>
      <c r="O27" s="46">
        <f t="shared" si="15"/>
        <v>0</v>
      </c>
      <c r="P27" s="151">
        <f t="shared" si="16"/>
        <v>0</v>
      </c>
      <c r="Q27" s="152">
        <f t="shared" si="17"/>
        <v>0</v>
      </c>
      <c r="R27" s="45">
        <f t="shared" si="18"/>
        <v>0</v>
      </c>
      <c r="S27" s="46">
        <f t="shared" si="19"/>
        <v>1</v>
      </c>
      <c r="T27" s="47">
        <f t="shared" si="20"/>
        <v>0</v>
      </c>
      <c r="U27" s="48">
        <f t="shared" si="21"/>
        <v>1</v>
      </c>
      <c r="V27" s="45">
        <f t="shared" si="22"/>
        <v>0</v>
      </c>
      <c r="W27" s="46">
        <f t="shared" si="23"/>
        <v>1</v>
      </c>
    </row>
    <row r="28" spans="1:50" ht="12" thickBot="1" x14ac:dyDescent="0.3">
      <c r="A28" s="19">
        <v>10</v>
      </c>
      <c r="B28" s="22">
        <v>4</v>
      </c>
      <c r="C28" s="20">
        <v>10</v>
      </c>
      <c r="D28" s="59">
        <v>2</v>
      </c>
      <c r="E28" s="60">
        <v>4</v>
      </c>
      <c r="F28" s="22">
        <v>4</v>
      </c>
      <c r="G28" s="20">
        <v>8</v>
      </c>
      <c r="H28" s="21">
        <v>1</v>
      </c>
      <c r="I28" s="52">
        <v>8</v>
      </c>
      <c r="J28" s="22">
        <v>1</v>
      </c>
      <c r="K28" s="20">
        <v>5</v>
      </c>
      <c r="M28" s="19">
        <v>10</v>
      </c>
      <c r="N28" s="45">
        <f t="shared" si="14"/>
        <v>0</v>
      </c>
      <c r="O28" s="46">
        <f t="shared" si="15"/>
        <v>0</v>
      </c>
      <c r="P28" s="155">
        <f t="shared" si="16"/>
        <v>0</v>
      </c>
      <c r="Q28" s="156">
        <f t="shared" si="17"/>
        <v>0</v>
      </c>
      <c r="R28" s="45">
        <f t="shared" si="18"/>
        <v>0</v>
      </c>
      <c r="S28" s="46">
        <f t="shared" si="19"/>
        <v>1</v>
      </c>
      <c r="T28" s="47">
        <f t="shared" si="20"/>
        <v>0</v>
      </c>
      <c r="U28" s="48">
        <f t="shared" si="21"/>
        <v>1</v>
      </c>
      <c r="V28" s="45">
        <f t="shared" si="22"/>
        <v>0</v>
      </c>
      <c r="W28" s="46">
        <f t="shared" si="23"/>
        <v>1</v>
      </c>
    </row>
    <row r="29" spans="1:50" x14ac:dyDescent="0.2">
      <c r="P29" s="323"/>
      <c r="Q29" s="323"/>
      <c r="R29" s="323"/>
    </row>
    <row r="30" spans="1:50" ht="12" thickBot="1" x14ac:dyDescent="0.25">
      <c r="P30" s="323"/>
      <c r="Q30" s="323"/>
      <c r="R30" s="323"/>
    </row>
    <row r="31" spans="1:50" ht="15.75" thickBot="1" x14ac:dyDescent="0.3">
      <c r="A31" s="508" t="s">
        <v>128</v>
      </c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10"/>
      <c r="T31" s="508" t="s">
        <v>147</v>
      </c>
      <c r="U31" s="511"/>
      <c r="V31" s="511"/>
      <c r="W31" s="511"/>
      <c r="X31" s="512"/>
      <c r="AA31" s="508" t="s">
        <v>155</v>
      </c>
      <c r="AB31" s="509"/>
      <c r="AC31" s="509"/>
      <c r="AD31" s="509"/>
      <c r="AE31" s="509"/>
      <c r="AF31" s="509"/>
      <c r="AG31" s="509"/>
      <c r="AH31" s="509"/>
      <c r="AI31" s="509"/>
      <c r="AJ31" s="509"/>
      <c r="AK31" s="509"/>
      <c r="AL31" s="509"/>
      <c r="AM31" s="509"/>
      <c r="AN31" s="509"/>
      <c r="AO31" s="509"/>
      <c r="AP31" s="509"/>
      <c r="AQ31" s="509"/>
      <c r="AR31" s="509"/>
      <c r="AS31" s="509"/>
      <c r="AT31" s="508" t="s">
        <v>156</v>
      </c>
      <c r="AU31" s="511"/>
      <c r="AV31" s="511"/>
      <c r="AW31" s="511"/>
      <c r="AX31" s="512"/>
    </row>
    <row r="32" spans="1:50" ht="23.25" customHeight="1" thickBot="1" x14ac:dyDescent="0.3">
      <c r="A32" s="320" t="s">
        <v>0</v>
      </c>
      <c r="B32" s="78" t="s">
        <v>116</v>
      </c>
      <c r="C32" s="78" t="s">
        <v>1</v>
      </c>
      <c r="D32" s="78" t="s">
        <v>117</v>
      </c>
      <c r="E32" s="78" t="s">
        <v>5</v>
      </c>
      <c r="F32" s="78" t="s">
        <v>119</v>
      </c>
      <c r="G32" s="78" t="s">
        <v>6</v>
      </c>
      <c r="H32" s="78" t="s">
        <v>118</v>
      </c>
      <c r="I32" s="78" t="s">
        <v>7</v>
      </c>
      <c r="J32" s="78" t="s">
        <v>153</v>
      </c>
      <c r="K32" s="78" t="s">
        <v>8</v>
      </c>
      <c r="L32" s="78" t="s">
        <v>121</v>
      </c>
      <c r="M32" s="78" t="s">
        <v>9</v>
      </c>
      <c r="N32" s="78" t="s">
        <v>159</v>
      </c>
      <c r="O32" s="78" t="s">
        <v>10</v>
      </c>
      <c r="P32" s="78" t="s">
        <v>123</v>
      </c>
      <c r="Q32" s="78" t="s">
        <v>11</v>
      </c>
      <c r="R32" s="78" t="s">
        <v>154</v>
      </c>
      <c r="S32" s="40" t="s">
        <v>12</v>
      </c>
      <c r="T32" s="79" t="s">
        <v>148</v>
      </c>
      <c r="U32" s="39" t="s">
        <v>149</v>
      </c>
      <c r="V32" s="39" t="s">
        <v>150</v>
      </c>
      <c r="W32" s="39" t="s">
        <v>151</v>
      </c>
      <c r="X32" s="40" t="s">
        <v>152</v>
      </c>
      <c r="AA32" s="321" t="s">
        <v>0</v>
      </c>
      <c r="AB32" s="78" t="s">
        <v>116</v>
      </c>
      <c r="AC32" s="78" t="s">
        <v>1</v>
      </c>
      <c r="AD32" s="78" t="s">
        <v>117</v>
      </c>
      <c r="AE32" s="78" t="s">
        <v>5</v>
      </c>
      <c r="AF32" s="78" t="s">
        <v>119</v>
      </c>
      <c r="AG32" s="78" t="s">
        <v>6</v>
      </c>
      <c r="AH32" s="78" t="s">
        <v>118</v>
      </c>
      <c r="AI32" s="78" t="s">
        <v>7</v>
      </c>
      <c r="AJ32" s="78" t="s">
        <v>153</v>
      </c>
      <c r="AK32" s="78" t="s">
        <v>8</v>
      </c>
      <c r="AL32" s="78" t="s">
        <v>121</v>
      </c>
      <c r="AM32" s="78" t="s">
        <v>9</v>
      </c>
      <c r="AN32" s="78" t="s">
        <v>159</v>
      </c>
      <c r="AO32" s="78" t="s">
        <v>10</v>
      </c>
      <c r="AP32" s="78" t="s">
        <v>123</v>
      </c>
      <c r="AQ32" s="78" t="s">
        <v>11</v>
      </c>
      <c r="AR32" s="78" t="s">
        <v>154</v>
      </c>
      <c r="AS32" s="40" t="s">
        <v>12</v>
      </c>
      <c r="AT32" s="79" t="s">
        <v>148</v>
      </c>
      <c r="AU32" s="39" t="s">
        <v>149</v>
      </c>
      <c r="AV32" s="39" t="s">
        <v>150</v>
      </c>
      <c r="AW32" s="39" t="s">
        <v>151</v>
      </c>
      <c r="AX32" s="40" t="s">
        <v>152</v>
      </c>
    </row>
    <row r="33" spans="1:50" x14ac:dyDescent="0.25">
      <c r="A33" s="77">
        <v>0</v>
      </c>
      <c r="B33" s="73">
        <v>0</v>
      </c>
      <c r="C33" s="54">
        <v>0</v>
      </c>
      <c r="D33" s="55">
        <v>0</v>
      </c>
      <c r="E33" s="56">
        <v>0</v>
      </c>
      <c r="F33" s="53">
        <v>0</v>
      </c>
      <c r="G33" s="54">
        <v>0</v>
      </c>
      <c r="H33" s="55">
        <v>0</v>
      </c>
      <c r="I33" s="56">
        <v>0</v>
      </c>
      <c r="J33" s="53">
        <v>0</v>
      </c>
      <c r="K33" s="54">
        <v>0</v>
      </c>
      <c r="L33" s="55">
        <v>0</v>
      </c>
      <c r="M33" s="56">
        <v>0</v>
      </c>
      <c r="N33" s="53">
        <v>0</v>
      </c>
      <c r="O33" s="54">
        <v>0</v>
      </c>
      <c r="P33" s="55">
        <v>0</v>
      </c>
      <c r="Q33" s="56">
        <v>0</v>
      </c>
      <c r="R33" s="53">
        <v>0</v>
      </c>
      <c r="S33" s="61">
        <v>0</v>
      </c>
      <c r="T33" s="65">
        <v>0</v>
      </c>
      <c r="U33" s="53">
        <v>0</v>
      </c>
      <c r="V33" s="55">
        <v>0</v>
      </c>
      <c r="W33" s="53">
        <v>0</v>
      </c>
      <c r="X33" s="66">
        <v>0</v>
      </c>
      <c r="AA33" s="13">
        <v>0</v>
      </c>
      <c r="AB33" s="41">
        <f t="shared" ref="AB33:AS33" si="24">B33</f>
        <v>0</v>
      </c>
      <c r="AC33" s="42">
        <f t="shared" si="24"/>
        <v>0</v>
      </c>
      <c r="AD33" s="148">
        <f t="shared" si="24"/>
        <v>0</v>
      </c>
      <c r="AE33" s="44">
        <f t="shared" si="24"/>
        <v>0</v>
      </c>
      <c r="AF33" s="41">
        <f t="shared" si="24"/>
        <v>0</v>
      </c>
      <c r="AG33" s="42">
        <f t="shared" si="24"/>
        <v>0</v>
      </c>
      <c r="AH33" s="148">
        <f t="shared" si="24"/>
        <v>0</v>
      </c>
      <c r="AI33" s="44">
        <f t="shared" si="24"/>
        <v>0</v>
      </c>
      <c r="AJ33" s="41">
        <f t="shared" si="24"/>
        <v>0</v>
      </c>
      <c r="AK33" s="42">
        <f t="shared" si="24"/>
        <v>0</v>
      </c>
      <c r="AL33" s="148">
        <f t="shared" si="24"/>
        <v>0</v>
      </c>
      <c r="AM33" s="44">
        <f t="shared" si="24"/>
        <v>0</v>
      </c>
      <c r="AN33" s="41">
        <f t="shared" si="24"/>
        <v>0</v>
      </c>
      <c r="AO33" s="42">
        <f t="shared" si="24"/>
        <v>0</v>
      </c>
      <c r="AP33" s="148">
        <f t="shared" si="24"/>
        <v>0</v>
      </c>
      <c r="AQ33" s="44">
        <f t="shared" si="24"/>
        <v>0</v>
      </c>
      <c r="AR33" s="41">
        <f t="shared" si="24"/>
        <v>0</v>
      </c>
      <c r="AS33" s="42">
        <f t="shared" si="24"/>
        <v>0</v>
      </c>
      <c r="AT33" s="90">
        <f>Bâtiments!T33</f>
        <v>0</v>
      </c>
      <c r="AU33" s="41">
        <f>Bâtiments!U33</f>
        <v>0</v>
      </c>
      <c r="AV33" s="43">
        <f>Bâtiments!V33</f>
        <v>0</v>
      </c>
      <c r="AW33" s="41">
        <f>Bâtiments!W33</f>
        <v>0</v>
      </c>
      <c r="AX33" s="91">
        <f>Bâtiments!X33</f>
        <v>0</v>
      </c>
    </row>
    <row r="34" spans="1:50" x14ac:dyDescent="0.25">
      <c r="A34" s="7">
        <v>1</v>
      </c>
      <c r="B34" s="74">
        <v>0</v>
      </c>
      <c r="C34" s="5">
        <v>0</v>
      </c>
      <c r="D34" s="3">
        <v>2</v>
      </c>
      <c r="E34" s="51">
        <v>2</v>
      </c>
      <c r="F34" s="1">
        <v>0</v>
      </c>
      <c r="G34" s="5">
        <v>0</v>
      </c>
      <c r="H34" s="3">
        <v>0</v>
      </c>
      <c r="I34" s="51">
        <v>0</v>
      </c>
      <c r="J34" s="1">
        <v>0</v>
      </c>
      <c r="K34" s="5">
        <v>0</v>
      </c>
      <c r="L34" s="3">
        <v>0</v>
      </c>
      <c r="M34" s="51">
        <v>0</v>
      </c>
      <c r="N34" s="1">
        <v>0</v>
      </c>
      <c r="O34" s="5">
        <v>0</v>
      </c>
      <c r="P34" s="3">
        <v>0</v>
      </c>
      <c r="Q34" s="51">
        <v>0</v>
      </c>
      <c r="R34" s="1">
        <v>0</v>
      </c>
      <c r="S34" s="62">
        <v>0</v>
      </c>
      <c r="T34" s="67">
        <v>0</v>
      </c>
      <c r="U34" s="1">
        <v>0</v>
      </c>
      <c r="V34" s="3">
        <v>0</v>
      </c>
      <c r="W34" s="1">
        <v>0</v>
      </c>
      <c r="X34" s="68">
        <v>0</v>
      </c>
      <c r="AA34" s="12">
        <v>1</v>
      </c>
      <c r="AB34" s="45">
        <f t="shared" ref="AB34:AB43" si="25">B34-B33</f>
        <v>0</v>
      </c>
      <c r="AC34" s="46">
        <f t="shared" ref="AC34:AC43" si="26">C34-C33</f>
        <v>0</v>
      </c>
      <c r="AD34" s="151">
        <f t="shared" ref="AD34:AD43" si="27">D34-D33</f>
        <v>2</v>
      </c>
      <c r="AE34" s="152">
        <f t="shared" ref="AE34:AE43" si="28">E34-E33</f>
        <v>2</v>
      </c>
      <c r="AF34" s="45">
        <f t="shared" ref="AF34:AF43" si="29">F34-F33</f>
        <v>0</v>
      </c>
      <c r="AG34" s="46">
        <f t="shared" ref="AG34:AG43" si="30">G34-G33</f>
        <v>0</v>
      </c>
      <c r="AH34" s="151">
        <f t="shared" ref="AH34:AH43" si="31">H34-H33</f>
        <v>0</v>
      </c>
      <c r="AI34" s="152">
        <f t="shared" ref="AI34:AI43" si="32">I34-I33</f>
        <v>0</v>
      </c>
      <c r="AJ34" s="45">
        <f t="shared" ref="AJ34:AJ43" si="33">J34-J33</f>
        <v>0</v>
      </c>
      <c r="AK34" s="46">
        <f t="shared" ref="AK34:AK43" si="34">K34-K33</f>
        <v>0</v>
      </c>
      <c r="AL34" s="151">
        <f t="shared" ref="AL34:AL43" si="35">L34-L33</f>
        <v>0</v>
      </c>
      <c r="AM34" s="152">
        <f t="shared" ref="AM34:AM43" si="36">M34-M33</f>
        <v>0</v>
      </c>
      <c r="AN34" s="45">
        <f t="shared" ref="AN34:AN43" si="37">N34-N33</f>
        <v>0</v>
      </c>
      <c r="AO34" s="46">
        <f t="shared" ref="AO34:AO43" si="38">O34-O33</f>
        <v>0</v>
      </c>
      <c r="AP34" s="151">
        <f t="shared" ref="AP34:AP43" si="39">P34-P33</f>
        <v>0</v>
      </c>
      <c r="AQ34" s="152">
        <f t="shared" ref="AQ34:AQ43" si="40">Q34-Q33</f>
        <v>0</v>
      </c>
      <c r="AR34" s="45">
        <f t="shared" ref="AR34:AR43" si="41">R34-R33</f>
        <v>0</v>
      </c>
      <c r="AS34" s="46">
        <f t="shared" ref="AS34:AS43" si="42">S34-S33</f>
        <v>0</v>
      </c>
      <c r="AT34" s="92">
        <f>Bâtiments!T34-Bâtiments!T33</f>
        <v>0</v>
      </c>
      <c r="AU34" s="45">
        <f>Bâtiments!U34-Bâtiments!U33</f>
        <v>0</v>
      </c>
      <c r="AV34" s="47">
        <f>Bâtiments!V34-Bâtiments!V33</f>
        <v>0</v>
      </c>
      <c r="AW34" s="45">
        <f>Bâtiments!W34-Bâtiments!W33</f>
        <v>0</v>
      </c>
      <c r="AX34" s="93">
        <f>Bâtiments!X34-Bâtiments!X33</f>
        <v>0</v>
      </c>
    </row>
    <row r="35" spans="1:50" x14ac:dyDescent="0.25">
      <c r="A35" s="7">
        <v>2</v>
      </c>
      <c r="B35" s="75">
        <v>25</v>
      </c>
      <c r="C35" s="6">
        <v>2</v>
      </c>
      <c r="D35" s="4">
        <v>2</v>
      </c>
      <c r="E35" s="49">
        <v>3</v>
      </c>
      <c r="F35" s="2">
        <v>1</v>
      </c>
      <c r="G35" s="6">
        <v>2</v>
      </c>
      <c r="H35" s="4">
        <v>0</v>
      </c>
      <c r="I35" s="49">
        <v>0</v>
      </c>
      <c r="J35" s="2">
        <v>0</v>
      </c>
      <c r="K35" s="6">
        <v>0</v>
      </c>
      <c r="L35" s="4">
        <v>0</v>
      </c>
      <c r="M35" s="49">
        <v>0</v>
      </c>
      <c r="N35" s="2">
        <v>0</v>
      </c>
      <c r="O35" s="6">
        <v>0</v>
      </c>
      <c r="P35" s="4">
        <v>0</v>
      </c>
      <c r="Q35" s="49">
        <v>0</v>
      </c>
      <c r="R35" s="2">
        <v>0</v>
      </c>
      <c r="S35" s="63">
        <v>0</v>
      </c>
      <c r="T35" s="69">
        <v>0</v>
      </c>
      <c r="U35" s="2">
        <v>0</v>
      </c>
      <c r="V35" s="4">
        <v>0</v>
      </c>
      <c r="W35" s="2">
        <v>0</v>
      </c>
      <c r="X35" s="70">
        <v>0</v>
      </c>
      <c r="AA35" s="13">
        <v>2</v>
      </c>
      <c r="AB35" s="45">
        <f t="shared" si="25"/>
        <v>25</v>
      </c>
      <c r="AC35" s="46">
        <f t="shared" si="26"/>
        <v>2</v>
      </c>
      <c r="AD35" s="151">
        <f t="shared" si="27"/>
        <v>0</v>
      </c>
      <c r="AE35" s="152">
        <f t="shared" si="28"/>
        <v>1</v>
      </c>
      <c r="AF35" s="45">
        <f t="shared" si="29"/>
        <v>1</v>
      </c>
      <c r="AG35" s="46">
        <f t="shared" si="30"/>
        <v>2</v>
      </c>
      <c r="AH35" s="151">
        <f t="shared" si="31"/>
        <v>0</v>
      </c>
      <c r="AI35" s="152">
        <f t="shared" si="32"/>
        <v>0</v>
      </c>
      <c r="AJ35" s="45">
        <f t="shared" si="33"/>
        <v>0</v>
      </c>
      <c r="AK35" s="46">
        <f t="shared" si="34"/>
        <v>0</v>
      </c>
      <c r="AL35" s="151">
        <f t="shared" si="35"/>
        <v>0</v>
      </c>
      <c r="AM35" s="152">
        <f t="shared" si="36"/>
        <v>0</v>
      </c>
      <c r="AN35" s="45">
        <f t="shared" si="37"/>
        <v>0</v>
      </c>
      <c r="AO35" s="46">
        <f t="shared" si="38"/>
        <v>0</v>
      </c>
      <c r="AP35" s="151">
        <f t="shared" si="39"/>
        <v>0</v>
      </c>
      <c r="AQ35" s="152">
        <f t="shared" si="40"/>
        <v>0</v>
      </c>
      <c r="AR35" s="45">
        <f t="shared" si="41"/>
        <v>0</v>
      </c>
      <c r="AS35" s="46">
        <f t="shared" si="42"/>
        <v>0</v>
      </c>
      <c r="AT35" s="92">
        <f>Bâtiments!T35-Bâtiments!T34</f>
        <v>0</v>
      </c>
      <c r="AU35" s="45">
        <f>Bâtiments!U35-Bâtiments!U34</f>
        <v>0</v>
      </c>
      <c r="AV35" s="47">
        <f>Bâtiments!V35-Bâtiments!V34</f>
        <v>0</v>
      </c>
      <c r="AW35" s="45">
        <f>Bâtiments!W35-Bâtiments!W34</f>
        <v>0</v>
      </c>
      <c r="AX35" s="93">
        <f>Bâtiments!X35-Bâtiments!X34</f>
        <v>0</v>
      </c>
    </row>
    <row r="36" spans="1:50" x14ac:dyDescent="0.25">
      <c r="A36" s="7">
        <v>3</v>
      </c>
      <c r="B36" s="74">
        <v>50</v>
      </c>
      <c r="C36" s="5">
        <v>3</v>
      </c>
      <c r="D36" s="3">
        <v>2</v>
      </c>
      <c r="E36" s="51">
        <v>4</v>
      </c>
      <c r="F36" s="1">
        <v>1</v>
      </c>
      <c r="G36" s="5">
        <v>3</v>
      </c>
      <c r="H36" s="3">
        <v>1</v>
      </c>
      <c r="I36" s="51">
        <v>1</v>
      </c>
      <c r="J36" s="1">
        <v>0</v>
      </c>
      <c r="K36" s="5">
        <v>0</v>
      </c>
      <c r="L36" s="3">
        <v>0</v>
      </c>
      <c r="M36" s="51">
        <v>0</v>
      </c>
      <c r="N36" s="1">
        <v>0</v>
      </c>
      <c r="O36" s="5">
        <v>0</v>
      </c>
      <c r="P36" s="3">
        <v>0</v>
      </c>
      <c r="Q36" s="51">
        <v>0</v>
      </c>
      <c r="R36" s="1">
        <v>0</v>
      </c>
      <c r="S36" s="62">
        <v>0</v>
      </c>
      <c r="T36" s="67">
        <v>2</v>
      </c>
      <c r="U36" s="1">
        <v>0</v>
      </c>
      <c r="V36" s="3">
        <v>0</v>
      </c>
      <c r="W36" s="1">
        <v>0</v>
      </c>
      <c r="X36" s="68">
        <v>0</v>
      </c>
      <c r="AA36" s="13">
        <v>3</v>
      </c>
      <c r="AB36" s="45">
        <f t="shared" si="25"/>
        <v>25</v>
      </c>
      <c r="AC36" s="46">
        <f t="shared" si="26"/>
        <v>1</v>
      </c>
      <c r="AD36" s="151">
        <f t="shared" si="27"/>
        <v>0</v>
      </c>
      <c r="AE36" s="152">
        <f t="shared" si="28"/>
        <v>1</v>
      </c>
      <c r="AF36" s="45">
        <f t="shared" si="29"/>
        <v>0</v>
      </c>
      <c r="AG36" s="46">
        <f t="shared" si="30"/>
        <v>1</v>
      </c>
      <c r="AH36" s="151">
        <f t="shared" si="31"/>
        <v>1</v>
      </c>
      <c r="AI36" s="152">
        <f t="shared" si="32"/>
        <v>1</v>
      </c>
      <c r="AJ36" s="45">
        <f t="shared" si="33"/>
        <v>0</v>
      </c>
      <c r="AK36" s="46">
        <f t="shared" si="34"/>
        <v>0</v>
      </c>
      <c r="AL36" s="151">
        <f t="shared" si="35"/>
        <v>0</v>
      </c>
      <c r="AM36" s="152">
        <f t="shared" si="36"/>
        <v>0</v>
      </c>
      <c r="AN36" s="45">
        <f t="shared" si="37"/>
        <v>0</v>
      </c>
      <c r="AO36" s="46">
        <f t="shared" si="38"/>
        <v>0</v>
      </c>
      <c r="AP36" s="151">
        <f t="shared" si="39"/>
        <v>0</v>
      </c>
      <c r="AQ36" s="152">
        <f t="shared" si="40"/>
        <v>0</v>
      </c>
      <c r="AR36" s="45">
        <f t="shared" si="41"/>
        <v>0</v>
      </c>
      <c r="AS36" s="46">
        <f t="shared" si="42"/>
        <v>0</v>
      </c>
      <c r="AT36" s="92">
        <f>Bâtiments!T36-Bâtiments!T35</f>
        <v>2</v>
      </c>
      <c r="AU36" s="45">
        <f>Bâtiments!U36-Bâtiments!U35</f>
        <v>0</v>
      </c>
      <c r="AV36" s="47">
        <f>Bâtiments!V36-Bâtiments!V35</f>
        <v>0</v>
      </c>
      <c r="AW36" s="45">
        <f>Bâtiments!W36-Bâtiments!W35</f>
        <v>0</v>
      </c>
      <c r="AX36" s="93">
        <f>Bâtiments!X36-Bâtiments!X35</f>
        <v>0</v>
      </c>
    </row>
    <row r="37" spans="1:50" x14ac:dyDescent="0.25">
      <c r="A37" s="7">
        <v>4</v>
      </c>
      <c r="B37" s="75">
        <v>75</v>
      </c>
      <c r="C37" s="6">
        <v>4</v>
      </c>
      <c r="D37" s="4">
        <v>2</v>
      </c>
      <c r="E37" s="49">
        <v>5</v>
      </c>
      <c r="F37" s="2">
        <v>2</v>
      </c>
      <c r="G37" s="6">
        <v>4</v>
      </c>
      <c r="H37" s="4">
        <v>1</v>
      </c>
      <c r="I37" s="49">
        <v>2</v>
      </c>
      <c r="J37" s="2">
        <v>1</v>
      </c>
      <c r="K37" s="6">
        <v>2</v>
      </c>
      <c r="L37" s="4">
        <v>0</v>
      </c>
      <c r="M37" s="49">
        <v>0</v>
      </c>
      <c r="N37" s="2">
        <v>0</v>
      </c>
      <c r="O37" s="6">
        <v>0</v>
      </c>
      <c r="P37" s="4">
        <v>0</v>
      </c>
      <c r="Q37" s="49">
        <v>0</v>
      </c>
      <c r="R37" s="2">
        <v>0</v>
      </c>
      <c r="S37" s="63">
        <v>0</v>
      </c>
      <c r="T37" s="69">
        <v>2</v>
      </c>
      <c r="U37" s="2">
        <v>2</v>
      </c>
      <c r="V37" s="4">
        <v>0</v>
      </c>
      <c r="W37" s="2">
        <v>0</v>
      </c>
      <c r="X37" s="70">
        <v>0</v>
      </c>
      <c r="AA37" s="13">
        <v>4</v>
      </c>
      <c r="AB37" s="45">
        <f t="shared" si="25"/>
        <v>25</v>
      </c>
      <c r="AC37" s="46">
        <f t="shared" si="26"/>
        <v>1</v>
      </c>
      <c r="AD37" s="151">
        <f t="shared" si="27"/>
        <v>0</v>
      </c>
      <c r="AE37" s="152">
        <f t="shared" si="28"/>
        <v>1</v>
      </c>
      <c r="AF37" s="45">
        <f t="shared" si="29"/>
        <v>1</v>
      </c>
      <c r="AG37" s="46">
        <f t="shared" si="30"/>
        <v>1</v>
      </c>
      <c r="AH37" s="151">
        <f t="shared" si="31"/>
        <v>0</v>
      </c>
      <c r="AI37" s="152">
        <f t="shared" si="32"/>
        <v>1</v>
      </c>
      <c r="AJ37" s="45">
        <f t="shared" si="33"/>
        <v>1</v>
      </c>
      <c r="AK37" s="46">
        <f t="shared" si="34"/>
        <v>2</v>
      </c>
      <c r="AL37" s="151">
        <f t="shared" si="35"/>
        <v>0</v>
      </c>
      <c r="AM37" s="152">
        <f t="shared" si="36"/>
        <v>0</v>
      </c>
      <c r="AN37" s="45">
        <f t="shared" si="37"/>
        <v>0</v>
      </c>
      <c r="AO37" s="46">
        <f t="shared" si="38"/>
        <v>0</v>
      </c>
      <c r="AP37" s="151">
        <f t="shared" si="39"/>
        <v>0</v>
      </c>
      <c r="AQ37" s="152">
        <f t="shared" si="40"/>
        <v>0</v>
      </c>
      <c r="AR37" s="45">
        <f t="shared" si="41"/>
        <v>0</v>
      </c>
      <c r="AS37" s="46">
        <f t="shared" si="42"/>
        <v>0</v>
      </c>
      <c r="AT37" s="92">
        <f>Bâtiments!T37-Bâtiments!T36</f>
        <v>0</v>
      </c>
      <c r="AU37" s="45">
        <f>Bâtiments!U37-Bâtiments!U36</f>
        <v>2</v>
      </c>
      <c r="AV37" s="47">
        <f>Bâtiments!V37-Bâtiments!V36</f>
        <v>0</v>
      </c>
      <c r="AW37" s="45">
        <f>Bâtiments!W37-Bâtiments!W36</f>
        <v>0</v>
      </c>
      <c r="AX37" s="93">
        <f>Bâtiments!X37-Bâtiments!X36</f>
        <v>0</v>
      </c>
    </row>
    <row r="38" spans="1:50" x14ac:dyDescent="0.25">
      <c r="A38" s="7">
        <v>5</v>
      </c>
      <c r="B38" s="74">
        <v>100</v>
      </c>
      <c r="C38" s="5">
        <v>5</v>
      </c>
      <c r="D38" s="3">
        <v>3</v>
      </c>
      <c r="E38" s="51">
        <v>6</v>
      </c>
      <c r="F38" s="1">
        <v>3</v>
      </c>
      <c r="G38" s="5">
        <v>6</v>
      </c>
      <c r="H38" s="3">
        <v>1</v>
      </c>
      <c r="I38" s="51">
        <v>3</v>
      </c>
      <c r="J38" s="1">
        <v>1</v>
      </c>
      <c r="K38" s="5">
        <v>3</v>
      </c>
      <c r="L38" s="3">
        <v>1</v>
      </c>
      <c r="M38" s="51">
        <v>2</v>
      </c>
      <c r="N38" s="1">
        <v>0</v>
      </c>
      <c r="O38" s="5">
        <v>0</v>
      </c>
      <c r="P38" s="3">
        <v>0</v>
      </c>
      <c r="Q38" s="51">
        <v>0</v>
      </c>
      <c r="R38" s="1">
        <v>0</v>
      </c>
      <c r="S38" s="62">
        <v>0</v>
      </c>
      <c r="T38" s="67">
        <v>4</v>
      </c>
      <c r="U38" s="1">
        <v>2</v>
      </c>
      <c r="V38" s="3">
        <v>0</v>
      </c>
      <c r="W38" s="1">
        <v>2</v>
      </c>
      <c r="X38" s="68">
        <v>0</v>
      </c>
      <c r="AA38" s="13">
        <v>5</v>
      </c>
      <c r="AB38" s="45">
        <f t="shared" si="25"/>
        <v>25</v>
      </c>
      <c r="AC38" s="46">
        <f t="shared" si="26"/>
        <v>1</v>
      </c>
      <c r="AD38" s="151">
        <f t="shared" si="27"/>
        <v>1</v>
      </c>
      <c r="AE38" s="152">
        <f t="shared" si="28"/>
        <v>1</v>
      </c>
      <c r="AF38" s="45">
        <f t="shared" si="29"/>
        <v>1</v>
      </c>
      <c r="AG38" s="46">
        <f t="shared" si="30"/>
        <v>2</v>
      </c>
      <c r="AH38" s="151">
        <f t="shared" si="31"/>
        <v>0</v>
      </c>
      <c r="AI38" s="152">
        <f t="shared" si="32"/>
        <v>1</v>
      </c>
      <c r="AJ38" s="45">
        <f t="shared" si="33"/>
        <v>0</v>
      </c>
      <c r="AK38" s="46">
        <f t="shared" si="34"/>
        <v>1</v>
      </c>
      <c r="AL38" s="151">
        <f t="shared" si="35"/>
        <v>1</v>
      </c>
      <c r="AM38" s="152">
        <f t="shared" si="36"/>
        <v>2</v>
      </c>
      <c r="AN38" s="45">
        <f t="shared" si="37"/>
        <v>0</v>
      </c>
      <c r="AO38" s="46">
        <f t="shared" si="38"/>
        <v>0</v>
      </c>
      <c r="AP38" s="151">
        <f t="shared" si="39"/>
        <v>0</v>
      </c>
      <c r="AQ38" s="152">
        <f t="shared" si="40"/>
        <v>0</v>
      </c>
      <c r="AR38" s="45">
        <f t="shared" si="41"/>
        <v>0</v>
      </c>
      <c r="AS38" s="46">
        <f t="shared" si="42"/>
        <v>0</v>
      </c>
      <c r="AT38" s="92">
        <f>Bâtiments!T38-Bâtiments!T37</f>
        <v>2</v>
      </c>
      <c r="AU38" s="45">
        <f>Bâtiments!U38-Bâtiments!U37</f>
        <v>0</v>
      </c>
      <c r="AV38" s="47">
        <f>Bâtiments!V38-Bâtiments!V37</f>
        <v>0</v>
      </c>
      <c r="AW38" s="45">
        <f>Bâtiments!W38-Bâtiments!W37</f>
        <v>2</v>
      </c>
      <c r="AX38" s="93">
        <f>Bâtiments!X38-Bâtiments!X37</f>
        <v>0</v>
      </c>
    </row>
    <row r="39" spans="1:50" x14ac:dyDescent="0.25">
      <c r="A39" s="7">
        <v>6</v>
      </c>
      <c r="B39" s="75">
        <v>125</v>
      </c>
      <c r="C39" s="6">
        <v>6</v>
      </c>
      <c r="D39" s="4">
        <v>3</v>
      </c>
      <c r="E39" s="49">
        <v>7</v>
      </c>
      <c r="F39" s="2">
        <v>3</v>
      </c>
      <c r="G39" s="6">
        <v>7</v>
      </c>
      <c r="H39" s="4">
        <v>2</v>
      </c>
      <c r="I39" s="49">
        <v>4</v>
      </c>
      <c r="J39" s="2">
        <v>1</v>
      </c>
      <c r="K39" s="6">
        <v>4</v>
      </c>
      <c r="L39" s="4">
        <v>2</v>
      </c>
      <c r="M39" s="49">
        <v>3</v>
      </c>
      <c r="N39" s="2">
        <v>0</v>
      </c>
      <c r="O39" s="6">
        <v>0</v>
      </c>
      <c r="P39" s="4">
        <v>0</v>
      </c>
      <c r="Q39" s="49">
        <v>0</v>
      </c>
      <c r="R39" s="2">
        <v>0</v>
      </c>
      <c r="S39" s="63">
        <v>0</v>
      </c>
      <c r="T39" s="69">
        <v>4</v>
      </c>
      <c r="U39" s="2">
        <v>4</v>
      </c>
      <c r="V39" s="4">
        <v>1</v>
      </c>
      <c r="W39" s="2">
        <v>2</v>
      </c>
      <c r="X39" s="70">
        <v>0</v>
      </c>
      <c r="AA39" s="13">
        <v>6</v>
      </c>
      <c r="AB39" s="45">
        <f t="shared" si="25"/>
        <v>25</v>
      </c>
      <c r="AC39" s="46">
        <f t="shared" si="26"/>
        <v>1</v>
      </c>
      <c r="AD39" s="151">
        <f t="shared" si="27"/>
        <v>0</v>
      </c>
      <c r="AE39" s="152">
        <f t="shared" si="28"/>
        <v>1</v>
      </c>
      <c r="AF39" s="45">
        <f t="shared" si="29"/>
        <v>0</v>
      </c>
      <c r="AG39" s="46">
        <f t="shared" si="30"/>
        <v>1</v>
      </c>
      <c r="AH39" s="151">
        <f t="shared" si="31"/>
        <v>1</v>
      </c>
      <c r="AI39" s="152">
        <f t="shared" si="32"/>
        <v>1</v>
      </c>
      <c r="AJ39" s="45">
        <f t="shared" si="33"/>
        <v>0</v>
      </c>
      <c r="AK39" s="46">
        <f t="shared" si="34"/>
        <v>1</v>
      </c>
      <c r="AL39" s="151">
        <f t="shared" si="35"/>
        <v>1</v>
      </c>
      <c r="AM39" s="152">
        <f t="shared" si="36"/>
        <v>1</v>
      </c>
      <c r="AN39" s="45">
        <f t="shared" si="37"/>
        <v>0</v>
      </c>
      <c r="AO39" s="46">
        <f t="shared" si="38"/>
        <v>0</v>
      </c>
      <c r="AP39" s="151">
        <f t="shared" si="39"/>
        <v>0</v>
      </c>
      <c r="AQ39" s="152">
        <f t="shared" si="40"/>
        <v>0</v>
      </c>
      <c r="AR39" s="45">
        <f t="shared" si="41"/>
        <v>0</v>
      </c>
      <c r="AS39" s="46">
        <f t="shared" si="42"/>
        <v>0</v>
      </c>
      <c r="AT39" s="92">
        <f>Bâtiments!T39-Bâtiments!T38</f>
        <v>0</v>
      </c>
      <c r="AU39" s="45">
        <f>Bâtiments!U39-Bâtiments!U38</f>
        <v>2</v>
      </c>
      <c r="AV39" s="47">
        <f>Bâtiments!V39-Bâtiments!V38</f>
        <v>1</v>
      </c>
      <c r="AW39" s="45">
        <f>Bâtiments!W39-Bâtiments!W38</f>
        <v>0</v>
      </c>
      <c r="AX39" s="93">
        <f>Bâtiments!X39-Bâtiments!X38</f>
        <v>0</v>
      </c>
    </row>
    <row r="40" spans="1:50" x14ac:dyDescent="0.25">
      <c r="A40" s="7">
        <v>7</v>
      </c>
      <c r="B40" s="74">
        <v>175</v>
      </c>
      <c r="C40" s="5">
        <v>7</v>
      </c>
      <c r="D40" s="3">
        <v>5</v>
      </c>
      <c r="E40" s="51">
        <v>8</v>
      </c>
      <c r="F40" s="1">
        <v>4</v>
      </c>
      <c r="G40" s="5">
        <v>8</v>
      </c>
      <c r="H40" s="3">
        <v>3</v>
      </c>
      <c r="I40" s="51">
        <v>5</v>
      </c>
      <c r="J40" s="1">
        <v>2</v>
      </c>
      <c r="K40" s="5">
        <v>5</v>
      </c>
      <c r="L40" s="3">
        <v>2</v>
      </c>
      <c r="M40" s="51">
        <v>4</v>
      </c>
      <c r="N40" s="1">
        <v>2</v>
      </c>
      <c r="O40" s="5">
        <v>3</v>
      </c>
      <c r="P40" s="3">
        <v>0</v>
      </c>
      <c r="Q40" s="51">
        <v>0</v>
      </c>
      <c r="R40" s="1">
        <v>0</v>
      </c>
      <c r="S40" s="62">
        <v>0</v>
      </c>
      <c r="T40" s="67">
        <v>6</v>
      </c>
      <c r="U40" s="1">
        <v>4</v>
      </c>
      <c r="V40" s="3">
        <v>2</v>
      </c>
      <c r="W40" s="1">
        <v>2</v>
      </c>
      <c r="X40" s="68">
        <v>1</v>
      </c>
      <c r="AA40" s="13">
        <v>7</v>
      </c>
      <c r="AB40" s="45">
        <f t="shared" si="25"/>
        <v>50</v>
      </c>
      <c r="AC40" s="46">
        <f t="shared" si="26"/>
        <v>1</v>
      </c>
      <c r="AD40" s="151">
        <f t="shared" si="27"/>
        <v>2</v>
      </c>
      <c r="AE40" s="152">
        <f t="shared" si="28"/>
        <v>1</v>
      </c>
      <c r="AF40" s="45">
        <f t="shared" si="29"/>
        <v>1</v>
      </c>
      <c r="AG40" s="46">
        <f t="shared" si="30"/>
        <v>1</v>
      </c>
      <c r="AH40" s="151">
        <f t="shared" si="31"/>
        <v>1</v>
      </c>
      <c r="AI40" s="152">
        <f t="shared" si="32"/>
        <v>1</v>
      </c>
      <c r="AJ40" s="45">
        <f t="shared" si="33"/>
        <v>1</v>
      </c>
      <c r="AK40" s="46">
        <f t="shared" si="34"/>
        <v>1</v>
      </c>
      <c r="AL40" s="151">
        <f t="shared" si="35"/>
        <v>0</v>
      </c>
      <c r="AM40" s="152">
        <f t="shared" si="36"/>
        <v>1</v>
      </c>
      <c r="AN40" s="45">
        <f t="shared" si="37"/>
        <v>2</v>
      </c>
      <c r="AO40" s="46">
        <f t="shared" si="38"/>
        <v>3</v>
      </c>
      <c r="AP40" s="151">
        <f t="shared" si="39"/>
        <v>0</v>
      </c>
      <c r="AQ40" s="152">
        <f t="shared" si="40"/>
        <v>0</v>
      </c>
      <c r="AR40" s="45">
        <f t="shared" si="41"/>
        <v>0</v>
      </c>
      <c r="AS40" s="46">
        <f t="shared" si="42"/>
        <v>0</v>
      </c>
      <c r="AT40" s="92">
        <f>Bâtiments!T40-Bâtiments!T39</f>
        <v>2</v>
      </c>
      <c r="AU40" s="45">
        <f>Bâtiments!U40-Bâtiments!U39</f>
        <v>0</v>
      </c>
      <c r="AV40" s="47">
        <f>Bâtiments!V40-Bâtiments!V39</f>
        <v>1</v>
      </c>
      <c r="AW40" s="45">
        <f>Bâtiments!W40-Bâtiments!W39</f>
        <v>0</v>
      </c>
      <c r="AX40" s="93">
        <f>Bâtiments!X40-Bâtiments!X39</f>
        <v>1</v>
      </c>
    </row>
    <row r="41" spans="1:50" x14ac:dyDescent="0.25">
      <c r="A41" s="7">
        <v>8</v>
      </c>
      <c r="B41" s="75">
        <v>225</v>
      </c>
      <c r="C41" s="6">
        <v>8</v>
      </c>
      <c r="D41" s="4">
        <v>5</v>
      </c>
      <c r="E41" s="49">
        <v>10</v>
      </c>
      <c r="F41" s="2">
        <v>5</v>
      </c>
      <c r="G41" s="6">
        <v>10</v>
      </c>
      <c r="H41" s="4">
        <v>3</v>
      </c>
      <c r="I41" s="49">
        <v>6</v>
      </c>
      <c r="J41" s="2">
        <v>3</v>
      </c>
      <c r="K41" s="6">
        <v>6</v>
      </c>
      <c r="L41" s="4">
        <v>3</v>
      </c>
      <c r="M41" s="49">
        <v>6</v>
      </c>
      <c r="N41" s="2">
        <v>3</v>
      </c>
      <c r="O41" s="6">
        <v>6</v>
      </c>
      <c r="P41" s="4">
        <v>0</v>
      </c>
      <c r="Q41" s="49">
        <v>0</v>
      </c>
      <c r="R41" s="2">
        <v>0</v>
      </c>
      <c r="S41" s="63">
        <v>0</v>
      </c>
      <c r="T41" s="69">
        <v>6</v>
      </c>
      <c r="U41" s="2">
        <v>6</v>
      </c>
      <c r="V41" s="4">
        <v>3</v>
      </c>
      <c r="W41" s="2">
        <v>4</v>
      </c>
      <c r="X41" s="70">
        <v>2</v>
      </c>
      <c r="AA41" s="13">
        <v>8</v>
      </c>
      <c r="AB41" s="45">
        <f t="shared" si="25"/>
        <v>50</v>
      </c>
      <c r="AC41" s="46">
        <f t="shared" si="26"/>
        <v>1</v>
      </c>
      <c r="AD41" s="151">
        <f t="shared" si="27"/>
        <v>0</v>
      </c>
      <c r="AE41" s="152">
        <f t="shared" si="28"/>
        <v>2</v>
      </c>
      <c r="AF41" s="45">
        <f t="shared" si="29"/>
        <v>1</v>
      </c>
      <c r="AG41" s="46">
        <f t="shared" si="30"/>
        <v>2</v>
      </c>
      <c r="AH41" s="151">
        <f t="shared" si="31"/>
        <v>0</v>
      </c>
      <c r="AI41" s="152">
        <f t="shared" si="32"/>
        <v>1</v>
      </c>
      <c r="AJ41" s="45">
        <f t="shared" si="33"/>
        <v>1</v>
      </c>
      <c r="AK41" s="46">
        <f t="shared" si="34"/>
        <v>1</v>
      </c>
      <c r="AL41" s="151">
        <f t="shared" si="35"/>
        <v>1</v>
      </c>
      <c r="AM41" s="152">
        <f t="shared" si="36"/>
        <v>2</v>
      </c>
      <c r="AN41" s="45">
        <f t="shared" si="37"/>
        <v>1</v>
      </c>
      <c r="AO41" s="46">
        <f t="shared" si="38"/>
        <v>3</v>
      </c>
      <c r="AP41" s="151">
        <f t="shared" si="39"/>
        <v>0</v>
      </c>
      <c r="AQ41" s="152">
        <f t="shared" si="40"/>
        <v>0</v>
      </c>
      <c r="AR41" s="45">
        <f t="shared" si="41"/>
        <v>0</v>
      </c>
      <c r="AS41" s="46">
        <f t="shared" si="42"/>
        <v>0</v>
      </c>
      <c r="AT41" s="92">
        <f>Bâtiments!T41-Bâtiments!T40</f>
        <v>0</v>
      </c>
      <c r="AU41" s="45">
        <f>Bâtiments!U41-Bâtiments!U40</f>
        <v>2</v>
      </c>
      <c r="AV41" s="47">
        <f>Bâtiments!V41-Bâtiments!V40</f>
        <v>1</v>
      </c>
      <c r="AW41" s="45">
        <f>Bâtiments!W41-Bâtiments!W40</f>
        <v>2</v>
      </c>
      <c r="AX41" s="93">
        <f>Bâtiments!X41-Bâtiments!X40</f>
        <v>1</v>
      </c>
    </row>
    <row r="42" spans="1:50" x14ac:dyDescent="0.25">
      <c r="A42" s="7">
        <v>9</v>
      </c>
      <c r="B42" s="74">
        <v>250</v>
      </c>
      <c r="C42" s="5">
        <v>10</v>
      </c>
      <c r="D42" s="3">
        <v>5</v>
      </c>
      <c r="E42" s="51">
        <v>11</v>
      </c>
      <c r="F42" s="1">
        <v>6</v>
      </c>
      <c r="G42" s="5">
        <v>11</v>
      </c>
      <c r="H42" s="3">
        <v>3</v>
      </c>
      <c r="I42" s="51">
        <v>7</v>
      </c>
      <c r="J42" s="1">
        <v>4</v>
      </c>
      <c r="K42" s="5">
        <v>7</v>
      </c>
      <c r="L42" s="3">
        <v>4</v>
      </c>
      <c r="M42" s="51">
        <v>7</v>
      </c>
      <c r="N42" s="1">
        <v>4</v>
      </c>
      <c r="O42" s="5">
        <v>7</v>
      </c>
      <c r="P42" s="3">
        <v>2</v>
      </c>
      <c r="Q42" s="51">
        <v>3</v>
      </c>
      <c r="R42" s="1">
        <v>0</v>
      </c>
      <c r="S42" s="62">
        <v>0</v>
      </c>
      <c r="T42" s="67">
        <v>6</v>
      </c>
      <c r="U42" s="1">
        <v>6</v>
      </c>
      <c r="V42" s="3">
        <v>4</v>
      </c>
      <c r="W42" s="1">
        <v>4</v>
      </c>
      <c r="X42" s="68">
        <v>4</v>
      </c>
      <c r="AA42" s="13">
        <v>9</v>
      </c>
      <c r="AB42" s="45">
        <f t="shared" si="25"/>
        <v>25</v>
      </c>
      <c r="AC42" s="46">
        <f t="shared" si="26"/>
        <v>2</v>
      </c>
      <c r="AD42" s="151">
        <f t="shared" si="27"/>
        <v>0</v>
      </c>
      <c r="AE42" s="152">
        <f t="shared" si="28"/>
        <v>1</v>
      </c>
      <c r="AF42" s="45">
        <f t="shared" si="29"/>
        <v>1</v>
      </c>
      <c r="AG42" s="46">
        <f t="shared" si="30"/>
        <v>1</v>
      </c>
      <c r="AH42" s="151">
        <f t="shared" si="31"/>
        <v>0</v>
      </c>
      <c r="AI42" s="152">
        <f t="shared" si="32"/>
        <v>1</v>
      </c>
      <c r="AJ42" s="45">
        <f t="shared" si="33"/>
        <v>1</v>
      </c>
      <c r="AK42" s="46">
        <f t="shared" si="34"/>
        <v>1</v>
      </c>
      <c r="AL42" s="151">
        <f t="shared" si="35"/>
        <v>1</v>
      </c>
      <c r="AM42" s="152">
        <f t="shared" si="36"/>
        <v>1</v>
      </c>
      <c r="AN42" s="45">
        <f t="shared" si="37"/>
        <v>1</v>
      </c>
      <c r="AO42" s="46">
        <f t="shared" si="38"/>
        <v>1</v>
      </c>
      <c r="AP42" s="151">
        <f t="shared" si="39"/>
        <v>2</v>
      </c>
      <c r="AQ42" s="152">
        <f t="shared" si="40"/>
        <v>3</v>
      </c>
      <c r="AR42" s="45">
        <f t="shared" si="41"/>
        <v>0</v>
      </c>
      <c r="AS42" s="46">
        <f t="shared" si="42"/>
        <v>0</v>
      </c>
      <c r="AT42" s="92">
        <f>Bâtiments!T42-Bâtiments!T41</f>
        <v>0</v>
      </c>
      <c r="AU42" s="45">
        <f>Bâtiments!U42-Bâtiments!U41</f>
        <v>0</v>
      </c>
      <c r="AV42" s="47">
        <f>Bâtiments!V42-Bâtiments!V41</f>
        <v>1</v>
      </c>
      <c r="AW42" s="45">
        <f>Bâtiments!W42-Bâtiments!W41</f>
        <v>0</v>
      </c>
      <c r="AX42" s="93">
        <f>Bâtiments!X42-Bâtiments!X41</f>
        <v>2</v>
      </c>
    </row>
    <row r="43" spans="1:50" ht="12" thickBot="1" x14ac:dyDescent="0.3">
      <c r="A43" s="8">
        <v>10</v>
      </c>
      <c r="B43" s="76">
        <v>250</v>
      </c>
      <c r="C43" s="58">
        <v>11</v>
      </c>
      <c r="D43" s="59">
        <v>6</v>
      </c>
      <c r="E43" s="60">
        <v>12</v>
      </c>
      <c r="F43" s="57">
        <v>7</v>
      </c>
      <c r="G43" s="58">
        <v>11</v>
      </c>
      <c r="H43" s="59">
        <v>3</v>
      </c>
      <c r="I43" s="60">
        <v>7</v>
      </c>
      <c r="J43" s="57">
        <v>4</v>
      </c>
      <c r="K43" s="58">
        <v>8</v>
      </c>
      <c r="L43" s="59">
        <v>4</v>
      </c>
      <c r="M43" s="60">
        <v>7</v>
      </c>
      <c r="N43" s="57">
        <v>4</v>
      </c>
      <c r="O43" s="58">
        <v>7</v>
      </c>
      <c r="P43" s="59">
        <v>3</v>
      </c>
      <c r="Q43" s="60">
        <v>4</v>
      </c>
      <c r="R43" s="57">
        <v>2</v>
      </c>
      <c r="S43" s="64">
        <v>2</v>
      </c>
      <c r="T43" s="71">
        <v>6</v>
      </c>
      <c r="U43" s="57">
        <v>6</v>
      </c>
      <c r="V43" s="59">
        <v>5</v>
      </c>
      <c r="W43" s="57">
        <v>5</v>
      </c>
      <c r="X43" s="72">
        <v>5</v>
      </c>
      <c r="AA43" s="19">
        <v>10</v>
      </c>
      <c r="AB43" s="45">
        <f t="shared" si="25"/>
        <v>0</v>
      </c>
      <c r="AC43" s="46">
        <f t="shared" si="26"/>
        <v>1</v>
      </c>
      <c r="AD43" s="155">
        <f t="shared" si="27"/>
        <v>1</v>
      </c>
      <c r="AE43" s="156">
        <f t="shared" si="28"/>
        <v>1</v>
      </c>
      <c r="AF43" s="45">
        <f t="shared" si="29"/>
        <v>1</v>
      </c>
      <c r="AG43" s="46">
        <f t="shared" si="30"/>
        <v>0</v>
      </c>
      <c r="AH43" s="155">
        <f t="shared" si="31"/>
        <v>0</v>
      </c>
      <c r="AI43" s="156">
        <f t="shared" si="32"/>
        <v>0</v>
      </c>
      <c r="AJ43" s="45">
        <f t="shared" si="33"/>
        <v>0</v>
      </c>
      <c r="AK43" s="46">
        <f t="shared" si="34"/>
        <v>1</v>
      </c>
      <c r="AL43" s="155">
        <f t="shared" si="35"/>
        <v>0</v>
      </c>
      <c r="AM43" s="156">
        <f t="shared" si="36"/>
        <v>0</v>
      </c>
      <c r="AN43" s="45">
        <f t="shared" si="37"/>
        <v>0</v>
      </c>
      <c r="AO43" s="46">
        <f t="shared" si="38"/>
        <v>0</v>
      </c>
      <c r="AP43" s="155">
        <f t="shared" si="39"/>
        <v>1</v>
      </c>
      <c r="AQ43" s="156">
        <f t="shared" si="40"/>
        <v>1</v>
      </c>
      <c r="AR43" s="45">
        <f t="shared" si="41"/>
        <v>2</v>
      </c>
      <c r="AS43" s="46">
        <f t="shared" si="42"/>
        <v>2</v>
      </c>
      <c r="AT43" s="94">
        <f>Bâtiments!T43-Bâtiments!T42</f>
        <v>0</v>
      </c>
      <c r="AU43" s="95">
        <f>Bâtiments!U43-Bâtiments!U42</f>
        <v>0</v>
      </c>
      <c r="AV43" s="96">
        <f>Bâtiments!V43-Bâtiments!V42</f>
        <v>1</v>
      </c>
      <c r="AW43" s="95">
        <f>Bâtiments!W43-Bâtiments!W42</f>
        <v>1</v>
      </c>
      <c r="AX43" s="97">
        <f>Bâtiments!X43-Bâtiments!X42</f>
        <v>1</v>
      </c>
    </row>
    <row r="44" spans="1:50" x14ac:dyDescent="0.2">
      <c r="P44" s="323"/>
      <c r="Q44" s="323"/>
      <c r="R44" s="323"/>
    </row>
    <row r="45" spans="1:50" ht="12" thickBot="1" x14ac:dyDescent="0.25">
      <c r="P45" s="323"/>
      <c r="Q45" s="323"/>
      <c r="R45" s="323"/>
    </row>
    <row r="46" spans="1:50" ht="15.75" thickBot="1" x14ac:dyDescent="0.3">
      <c r="A46" s="516" t="s">
        <v>157</v>
      </c>
      <c r="B46" s="517"/>
      <c r="C46" s="517"/>
      <c r="D46" s="517"/>
      <c r="E46" s="518"/>
      <c r="G46" s="513" t="s">
        <v>158</v>
      </c>
      <c r="H46" s="514"/>
      <c r="I46" s="514"/>
      <c r="J46" s="514"/>
      <c r="K46" s="515"/>
    </row>
    <row r="47" spans="1:50" ht="23.25" thickBot="1" x14ac:dyDescent="0.3">
      <c r="A47" s="321" t="s">
        <v>0</v>
      </c>
      <c r="B47" s="17" t="s">
        <v>124</v>
      </c>
      <c r="C47" s="18" t="s">
        <v>1</v>
      </c>
      <c r="D47" s="17" t="s">
        <v>125</v>
      </c>
      <c r="E47" s="17" t="s">
        <v>5</v>
      </c>
      <c r="G47" s="321" t="s">
        <v>0</v>
      </c>
      <c r="H47" s="17" t="s">
        <v>124</v>
      </c>
      <c r="I47" s="18" t="s">
        <v>1</v>
      </c>
      <c r="J47" s="17" t="s">
        <v>125</v>
      </c>
      <c r="K47" s="17" t="s">
        <v>5</v>
      </c>
    </row>
    <row r="48" spans="1:50" x14ac:dyDescent="0.25">
      <c r="A48" s="13">
        <v>0</v>
      </c>
      <c r="B48" s="2">
        <v>0</v>
      </c>
      <c r="C48" s="63">
        <v>0</v>
      </c>
      <c r="D48" s="4">
        <v>0</v>
      </c>
      <c r="E48" s="15">
        <v>0</v>
      </c>
      <c r="G48" s="13">
        <v>0</v>
      </c>
      <c r="H48" s="41">
        <f>B48</f>
        <v>0</v>
      </c>
      <c r="I48" s="42">
        <f>C48</f>
        <v>0</v>
      </c>
      <c r="J48" s="43">
        <f>D48</f>
        <v>0</v>
      </c>
      <c r="K48" s="44">
        <f>E48</f>
        <v>0</v>
      </c>
    </row>
    <row r="49" spans="1:11" x14ac:dyDescent="0.25">
      <c r="A49" s="12">
        <v>1</v>
      </c>
      <c r="B49" s="11">
        <v>0</v>
      </c>
      <c r="C49" s="108">
        <v>0</v>
      </c>
      <c r="D49" s="10">
        <v>1</v>
      </c>
      <c r="E49" s="14">
        <v>2</v>
      </c>
      <c r="G49" s="12">
        <v>1</v>
      </c>
      <c r="H49" s="45">
        <f t="shared" ref="H49:H58" si="43">B49-B48</f>
        <v>0</v>
      </c>
      <c r="I49" s="46">
        <f t="shared" ref="I49:I58" si="44">C49-C48</f>
        <v>0</v>
      </c>
      <c r="J49" s="47">
        <f t="shared" ref="J49:J58" si="45">D49-D48</f>
        <v>1</v>
      </c>
      <c r="K49" s="48">
        <f t="shared" ref="K49:K58" si="46">E49-E48</f>
        <v>2</v>
      </c>
    </row>
    <row r="50" spans="1:11" x14ac:dyDescent="0.25">
      <c r="A50" s="13">
        <v>2</v>
      </c>
      <c r="B50" s="2">
        <v>0</v>
      </c>
      <c r="C50" s="63">
        <v>0</v>
      </c>
      <c r="D50" s="4">
        <v>1</v>
      </c>
      <c r="E50" s="15">
        <v>3</v>
      </c>
      <c r="G50" s="13">
        <v>2</v>
      </c>
      <c r="H50" s="45">
        <f t="shared" si="43"/>
        <v>0</v>
      </c>
      <c r="I50" s="46">
        <f t="shared" si="44"/>
        <v>0</v>
      </c>
      <c r="J50" s="47">
        <f t="shared" si="45"/>
        <v>0</v>
      </c>
      <c r="K50" s="48">
        <f t="shared" si="46"/>
        <v>1</v>
      </c>
    </row>
    <row r="51" spans="1:11" x14ac:dyDescent="0.25">
      <c r="A51" s="13">
        <v>3</v>
      </c>
      <c r="B51" s="1">
        <v>1</v>
      </c>
      <c r="C51" s="62">
        <v>1</v>
      </c>
      <c r="D51" s="3">
        <v>1</v>
      </c>
      <c r="E51" s="16">
        <v>4</v>
      </c>
      <c r="G51" s="13">
        <v>3</v>
      </c>
      <c r="H51" s="45">
        <f t="shared" si="43"/>
        <v>1</v>
      </c>
      <c r="I51" s="46">
        <f t="shared" si="44"/>
        <v>1</v>
      </c>
      <c r="J51" s="47">
        <f t="shared" si="45"/>
        <v>0</v>
      </c>
      <c r="K51" s="48">
        <f t="shared" si="46"/>
        <v>1</v>
      </c>
    </row>
    <row r="52" spans="1:11" x14ac:dyDescent="0.25">
      <c r="A52" s="13">
        <v>4</v>
      </c>
      <c r="B52" s="2">
        <v>1</v>
      </c>
      <c r="C52" s="63">
        <v>2</v>
      </c>
      <c r="D52" s="4">
        <v>1</v>
      </c>
      <c r="E52" s="15">
        <v>5</v>
      </c>
      <c r="G52" s="13">
        <v>4</v>
      </c>
      <c r="H52" s="45">
        <f t="shared" si="43"/>
        <v>0</v>
      </c>
      <c r="I52" s="46">
        <f t="shared" si="44"/>
        <v>1</v>
      </c>
      <c r="J52" s="47">
        <f t="shared" si="45"/>
        <v>0</v>
      </c>
      <c r="K52" s="48">
        <f t="shared" si="46"/>
        <v>1</v>
      </c>
    </row>
    <row r="53" spans="1:11" x14ac:dyDescent="0.25">
      <c r="A53" s="13">
        <v>5</v>
      </c>
      <c r="B53" s="1">
        <v>1</v>
      </c>
      <c r="C53" s="62">
        <v>2</v>
      </c>
      <c r="D53" s="3">
        <v>1</v>
      </c>
      <c r="E53" s="16">
        <v>6</v>
      </c>
      <c r="G53" s="13">
        <v>5</v>
      </c>
      <c r="H53" s="45">
        <f t="shared" si="43"/>
        <v>0</v>
      </c>
      <c r="I53" s="46">
        <f t="shared" si="44"/>
        <v>0</v>
      </c>
      <c r="J53" s="47">
        <f t="shared" si="45"/>
        <v>0</v>
      </c>
      <c r="K53" s="48">
        <f t="shared" si="46"/>
        <v>1</v>
      </c>
    </row>
    <row r="54" spans="1:11" x14ac:dyDescent="0.25">
      <c r="A54" s="13">
        <v>6</v>
      </c>
      <c r="B54" s="2">
        <v>1</v>
      </c>
      <c r="C54" s="63">
        <v>3</v>
      </c>
      <c r="D54" s="4">
        <v>1</v>
      </c>
      <c r="E54" s="15">
        <v>7</v>
      </c>
      <c r="G54" s="13">
        <v>6</v>
      </c>
      <c r="H54" s="45">
        <f t="shared" si="43"/>
        <v>0</v>
      </c>
      <c r="I54" s="46">
        <f t="shared" si="44"/>
        <v>1</v>
      </c>
      <c r="J54" s="47">
        <f t="shared" si="45"/>
        <v>0</v>
      </c>
      <c r="K54" s="48">
        <f t="shared" si="46"/>
        <v>1</v>
      </c>
    </row>
    <row r="55" spans="1:11" x14ac:dyDescent="0.25">
      <c r="A55" s="13">
        <v>7</v>
      </c>
      <c r="B55" s="1">
        <v>1</v>
      </c>
      <c r="C55" s="62">
        <v>3</v>
      </c>
      <c r="D55" s="3">
        <v>1</v>
      </c>
      <c r="E55" s="16">
        <v>8</v>
      </c>
      <c r="G55" s="13">
        <v>7</v>
      </c>
      <c r="H55" s="45">
        <f t="shared" si="43"/>
        <v>0</v>
      </c>
      <c r="I55" s="46">
        <f t="shared" si="44"/>
        <v>0</v>
      </c>
      <c r="J55" s="47">
        <f t="shared" si="45"/>
        <v>0</v>
      </c>
      <c r="K55" s="48">
        <f t="shared" si="46"/>
        <v>1</v>
      </c>
    </row>
    <row r="56" spans="1:11" x14ac:dyDescent="0.25">
      <c r="A56" s="13">
        <v>8</v>
      </c>
      <c r="B56" s="2">
        <v>1</v>
      </c>
      <c r="C56" s="63">
        <v>4</v>
      </c>
      <c r="D56" s="4">
        <v>1</v>
      </c>
      <c r="E56" s="15">
        <v>9</v>
      </c>
      <c r="G56" s="13">
        <v>8</v>
      </c>
      <c r="H56" s="45">
        <f t="shared" si="43"/>
        <v>0</v>
      </c>
      <c r="I56" s="46">
        <f t="shared" si="44"/>
        <v>1</v>
      </c>
      <c r="J56" s="47">
        <f t="shared" si="45"/>
        <v>0</v>
      </c>
      <c r="K56" s="48">
        <f t="shared" si="46"/>
        <v>1</v>
      </c>
    </row>
    <row r="57" spans="1:11" x14ac:dyDescent="0.25">
      <c r="A57" s="13">
        <v>9</v>
      </c>
      <c r="B57" s="1">
        <v>1</v>
      </c>
      <c r="C57" s="62">
        <v>5</v>
      </c>
      <c r="D57" s="3">
        <v>1</v>
      </c>
      <c r="E57" s="16">
        <v>10</v>
      </c>
      <c r="G57" s="13">
        <v>9</v>
      </c>
      <c r="H57" s="45">
        <f t="shared" si="43"/>
        <v>0</v>
      </c>
      <c r="I57" s="46">
        <f t="shared" si="44"/>
        <v>1</v>
      </c>
      <c r="J57" s="47">
        <f t="shared" si="45"/>
        <v>0</v>
      </c>
      <c r="K57" s="48">
        <f t="shared" si="46"/>
        <v>1</v>
      </c>
    </row>
    <row r="58" spans="1:11" x14ac:dyDescent="0.25">
      <c r="A58" s="19">
        <v>10</v>
      </c>
      <c r="B58" s="22">
        <v>1</v>
      </c>
      <c r="C58" s="109">
        <v>5</v>
      </c>
      <c r="D58" s="21">
        <v>1</v>
      </c>
      <c r="E58" s="23">
        <v>10</v>
      </c>
      <c r="G58" s="19">
        <v>10</v>
      </c>
      <c r="H58" s="45">
        <f t="shared" si="43"/>
        <v>0</v>
      </c>
      <c r="I58" s="46">
        <f t="shared" si="44"/>
        <v>0</v>
      </c>
      <c r="J58" s="47">
        <f t="shared" si="45"/>
        <v>0</v>
      </c>
      <c r="K58" s="48">
        <f t="shared" si="46"/>
        <v>0</v>
      </c>
    </row>
  </sheetData>
  <mergeCells count="10">
    <mergeCell ref="A1:M1"/>
    <mergeCell ref="O1:AA1"/>
    <mergeCell ref="AT31:AX31"/>
    <mergeCell ref="G46:K46"/>
    <mergeCell ref="A46:E46"/>
    <mergeCell ref="A31:S31"/>
    <mergeCell ref="T31:X31"/>
    <mergeCell ref="AA31:AS31"/>
    <mergeCell ref="A16:K16"/>
    <mergeCell ref="M16:W16"/>
  </mergeCells>
  <pageMargins left="0.7" right="0.7" top="0.75" bottom="0.75" header="0.3" footer="0.3"/>
  <pageSetup paperSize="9" orientation="portrait" r:id="rId1"/>
  <ignoredErrors>
    <ignoredError sqref="AB33:AC43 J48:K48" calculatedColumn="1"/>
  </ignoredErrors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F0000"/>
  </sheetPr>
  <dimension ref="A1:AQ43"/>
  <sheetViews>
    <sheetView workbookViewId="0">
      <selection sqref="A1:K1"/>
    </sheetView>
  </sheetViews>
  <sheetFormatPr baseColWidth="10" defaultRowHeight="11.25" x14ac:dyDescent="0.2"/>
  <cols>
    <col min="1" max="1" width="4.7109375" style="324" customWidth="1"/>
    <col min="2" max="2" width="8.7109375" style="324" customWidth="1"/>
    <col min="3" max="3" width="4.7109375" style="324" customWidth="1"/>
    <col min="4" max="4" width="8.7109375" style="324" customWidth="1"/>
    <col min="5" max="5" width="4.7109375" style="324" customWidth="1"/>
    <col min="6" max="6" width="8.7109375" style="324" customWidth="1"/>
    <col min="7" max="7" width="4.7109375" style="324" customWidth="1"/>
    <col min="8" max="8" width="8.7109375" style="324" customWidth="1"/>
    <col min="9" max="9" width="4.7109375" style="324" customWidth="1"/>
    <col min="10" max="10" width="8.7109375" style="324" customWidth="1"/>
    <col min="11" max="11" width="4.7109375" style="324" customWidth="1"/>
    <col min="12" max="12" width="8.7109375" style="324" customWidth="1"/>
    <col min="13" max="13" width="4.7109375" style="324" customWidth="1"/>
    <col min="14" max="14" width="8.7109375" style="324" customWidth="1"/>
    <col min="15" max="15" width="4.7109375" style="324" customWidth="1"/>
    <col min="16" max="16" width="8.7109375" style="324" customWidth="1"/>
    <col min="17" max="17" width="4.7109375" style="324" customWidth="1"/>
    <col min="18" max="18" width="8.7109375" style="324" customWidth="1"/>
    <col min="19" max="19" width="4.7109375" style="324" customWidth="1"/>
    <col min="20" max="20" width="8.7109375" style="324" customWidth="1"/>
    <col min="21" max="21" width="4.7109375" style="324" customWidth="1"/>
    <col min="22" max="22" width="8.7109375" style="324" customWidth="1"/>
    <col min="23" max="23" width="4.7109375" style="324" customWidth="1"/>
    <col min="24" max="24" width="8.7109375" style="324" customWidth="1"/>
    <col min="25" max="25" width="4.7109375" style="324" customWidth="1"/>
    <col min="26" max="26" width="8.7109375" style="324" customWidth="1"/>
    <col min="27" max="27" width="4.7109375" style="324" customWidth="1"/>
    <col min="28" max="28" width="8.7109375" style="324" customWidth="1"/>
    <col min="29" max="29" width="4.7109375" style="324" customWidth="1"/>
    <col min="30" max="30" width="8.7109375" style="324" customWidth="1"/>
    <col min="31" max="31" width="4.7109375" style="324" customWidth="1"/>
    <col min="32" max="32" width="8.7109375" style="324" customWidth="1"/>
    <col min="33" max="33" width="4.7109375" style="324" customWidth="1"/>
    <col min="34" max="34" width="8.7109375" style="324" customWidth="1"/>
    <col min="35" max="35" width="4.7109375" style="324" customWidth="1"/>
    <col min="36" max="36" width="8.7109375" style="324" customWidth="1"/>
    <col min="37" max="37" width="4.7109375" style="324" customWidth="1"/>
    <col min="38" max="38" width="8.7109375" style="324" customWidth="1"/>
    <col min="39" max="39" width="4.7109375" style="324" customWidth="1"/>
    <col min="40" max="40" width="8.7109375" style="324" customWidth="1"/>
    <col min="41" max="41" width="4.7109375" style="324" customWidth="1"/>
    <col min="42" max="42" width="8.7109375" style="324" customWidth="1"/>
    <col min="43" max="43" width="4.7109375" style="324" customWidth="1"/>
    <col min="44" max="16384" width="11.42578125" style="324"/>
  </cols>
  <sheetData>
    <row r="1" spans="1:43" ht="15.75" thickBot="1" x14ac:dyDescent="0.3">
      <c r="A1" s="508" t="s">
        <v>45</v>
      </c>
      <c r="B1" s="521"/>
      <c r="C1" s="521"/>
      <c r="D1" s="521"/>
      <c r="E1" s="521"/>
      <c r="F1" s="521"/>
      <c r="G1" s="521"/>
      <c r="H1" s="521"/>
      <c r="I1" s="521"/>
      <c r="J1" s="522"/>
      <c r="K1" s="523"/>
      <c r="M1" s="508" t="s">
        <v>46</v>
      </c>
      <c r="N1" s="521"/>
      <c r="O1" s="521"/>
      <c r="P1" s="521"/>
      <c r="Q1" s="521"/>
      <c r="R1" s="521"/>
      <c r="S1" s="521"/>
      <c r="T1" s="521"/>
      <c r="U1" s="521"/>
      <c r="V1" s="522"/>
      <c r="W1" s="523"/>
    </row>
    <row r="2" spans="1:43" ht="23.25" thickBot="1" x14ac:dyDescent="0.25">
      <c r="A2" s="325" t="s">
        <v>0</v>
      </c>
      <c r="B2" s="17" t="s">
        <v>100</v>
      </c>
      <c r="C2" s="17" t="s">
        <v>1</v>
      </c>
      <c r="D2" s="17" t="s">
        <v>101</v>
      </c>
      <c r="E2" s="17" t="s">
        <v>5</v>
      </c>
      <c r="F2" s="17" t="s">
        <v>102</v>
      </c>
      <c r="G2" s="17" t="s">
        <v>6</v>
      </c>
      <c r="H2" s="17" t="s">
        <v>103</v>
      </c>
      <c r="I2" s="17" t="s">
        <v>7</v>
      </c>
      <c r="J2" s="17" t="s">
        <v>104</v>
      </c>
      <c r="K2" s="89" t="s">
        <v>8</v>
      </c>
      <c r="M2" s="325" t="s">
        <v>0</v>
      </c>
      <c r="N2" s="17" t="s">
        <v>100</v>
      </c>
      <c r="O2" s="17" t="s">
        <v>1</v>
      </c>
      <c r="P2" s="17" t="s">
        <v>142</v>
      </c>
      <c r="Q2" s="17" t="s">
        <v>5</v>
      </c>
      <c r="R2" s="17" t="s">
        <v>102</v>
      </c>
      <c r="S2" s="17" t="s">
        <v>6</v>
      </c>
      <c r="T2" s="17" t="s">
        <v>103</v>
      </c>
      <c r="U2" s="17" t="s">
        <v>7</v>
      </c>
      <c r="V2" s="17" t="s">
        <v>104</v>
      </c>
      <c r="W2" s="89" t="s">
        <v>8</v>
      </c>
    </row>
    <row r="3" spans="1:43" x14ac:dyDescent="0.2">
      <c r="A3" s="77">
        <v>0</v>
      </c>
      <c r="B3" s="327">
        <v>0</v>
      </c>
      <c r="C3" s="328">
        <v>0</v>
      </c>
      <c r="D3" s="334">
        <v>0</v>
      </c>
      <c r="E3" s="335">
        <v>0</v>
      </c>
      <c r="F3" s="327">
        <v>0</v>
      </c>
      <c r="G3" s="328">
        <v>0</v>
      </c>
      <c r="H3" s="334">
        <v>0</v>
      </c>
      <c r="I3" s="335">
        <v>0</v>
      </c>
      <c r="J3" s="329">
        <v>0</v>
      </c>
      <c r="K3" s="330">
        <v>0</v>
      </c>
      <c r="M3" s="77">
        <v>0</v>
      </c>
      <c r="N3" s="331">
        <f t="shared" ref="N3:W3" si="0">B3</f>
        <v>0</v>
      </c>
      <c r="O3" s="332">
        <f t="shared" si="0"/>
        <v>0</v>
      </c>
      <c r="P3" s="336">
        <f t="shared" si="0"/>
        <v>0</v>
      </c>
      <c r="Q3" s="337">
        <f t="shared" si="0"/>
        <v>0</v>
      </c>
      <c r="R3" s="333">
        <f t="shared" si="0"/>
        <v>0</v>
      </c>
      <c r="S3" s="332">
        <f t="shared" si="0"/>
        <v>0</v>
      </c>
      <c r="T3" s="336">
        <f t="shared" si="0"/>
        <v>0</v>
      </c>
      <c r="U3" s="337">
        <f t="shared" si="0"/>
        <v>0</v>
      </c>
      <c r="V3" s="333">
        <f t="shared" si="0"/>
        <v>0</v>
      </c>
      <c r="W3" s="332">
        <f t="shared" si="0"/>
        <v>0</v>
      </c>
    </row>
    <row r="4" spans="1:43" x14ac:dyDescent="0.2">
      <c r="A4" s="326">
        <v>1</v>
      </c>
      <c r="B4" s="11">
        <v>0</v>
      </c>
      <c r="C4" s="9">
        <v>0</v>
      </c>
      <c r="D4" s="10">
        <v>0</v>
      </c>
      <c r="E4" s="50">
        <v>0</v>
      </c>
      <c r="F4" s="11">
        <v>0</v>
      </c>
      <c r="G4" s="9">
        <v>0</v>
      </c>
      <c r="H4" s="10">
        <v>0</v>
      </c>
      <c r="I4" s="50">
        <v>0</v>
      </c>
      <c r="J4" s="142">
        <v>0</v>
      </c>
      <c r="K4" s="143">
        <v>0</v>
      </c>
      <c r="M4" s="326">
        <v>1</v>
      </c>
      <c r="N4" s="119">
        <f t="shared" ref="N4:N13" si="1">B4-B3</f>
        <v>0</v>
      </c>
      <c r="O4" s="116">
        <f t="shared" ref="O4:O13" si="2">C4-C3</f>
        <v>0</v>
      </c>
      <c r="P4" s="117">
        <f t="shared" ref="P4:P13" si="3">D4-D3</f>
        <v>0</v>
      </c>
      <c r="Q4" s="118">
        <f t="shared" ref="Q4:Q13" si="4">E4-E3</f>
        <v>0</v>
      </c>
      <c r="R4" s="115">
        <f t="shared" ref="R4:R13" si="5">F4-F3</f>
        <v>0</v>
      </c>
      <c r="S4" s="116">
        <f t="shared" ref="S4:S13" si="6">G4-G3</f>
        <v>0</v>
      </c>
      <c r="T4" s="117">
        <f t="shared" ref="T4:T13" si="7">H4-H3</f>
        <v>0</v>
      </c>
      <c r="U4" s="118">
        <f t="shared" ref="U4:U13" si="8">I4-I3</f>
        <v>0</v>
      </c>
      <c r="V4" s="115">
        <f t="shared" ref="V4:V13" si="9">J4-J3</f>
        <v>0</v>
      </c>
      <c r="W4" s="116">
        <f t="shared" ref="W4:W13" si="10">K4-K3</f>
        <v>0</v>
      </c>
    </row>
    <row r="5" spans="1:43" x14ac:dyDescent="0.2">
      <c r="A5" s="7">
        <v>2</v>
      </c>
      <c r="B5" s="2">
        <v>0</v>
      </c>
      <c r="C5" s="6">
        <v>0</v>
      </c>
      <c r="D5" s="4">
        <v>0</v>
      </c>
      <c r="E5" s="49">
        <v>0</v>
      </c>
      <c r="F5" s="2">
        <v>0</v>
      </c>
      <c r="G5" s="6">
        <v>0</v>
      </c>
      <c r="H5" s="4">
        <v>0</v>
      </c>
      <c r="I5" s="49">
        <v>0</v>
      </c>
      <c r="J5" s="140">
        <v>0</v>
      </c>
      <c r="K5" s="141">
        <v>0</v>
      </c>
      <c r="M5" s="7">
        <v>2</v>
      </c>
      <c r="N5" s="119">
        <f t="shared" si="1"/>
        <v>0</v>
      </c>
      <c r="O5" s="116">
        <f t="shared" si="2"/>
        <v>0</v>
      </c>
      <c r="P5" s="117">
        <f t="shared" si="3"/>
        <v>0</v>
      </c>
      <c r="Q5" s="118">
        <f t="shared" si="4"/>
        <v>0</v>
      </c>
      <c r="R5" s="115">
        <f t="shared" si="5"/>
        <v>0</v>
      </c>
      <c r="S5" s="116">
        <f t="shared" si="6"/>
        <v>0</v>
      </c>
      <c r="T5" s="117">
        <f t="shared" si="7"/>
        <v>0</v>
      </c>
      <c r="U5" s="118">
        <f t="shared" si="8"/>
        <v>0</v>
      </c>
      <c r="V5" s="115">
        <f t="shared" si="9"/>
        <v>0</v>
      </c>
      <c r="W5" s="116">
        <f t="shared" si="10"/>
        <v>0</v>
      </c>
    </row>
    <row r="6" spans="1:43" x14ac:dyDescent="0.2">
      <c r="A6" s="7">
        <v>3</v>
      </c>
      <c r="B6" s="1">
        <v>0</v>
      </c>
      <c r="C6" s="5">
        <v>2</v>
      </c>
      <c r="D6" s="3">
        <v>0</v>
      </c>
      <c r="E6" s="51">
        <v>0</v>
      </c>
      <c r="F6" s="1">
        <v>0</v>
      </c>
      <c r="G6" s="5">
        <v>0</v>
      </c>
      <c r="H6" s="3">
        <v>0</v>
      </c>
      <c r="I6" s="51">
        <v>0</v>
      </c>
      <c r="J6" s="144">
        <v>0</v>
      </c>
      <c r="K6" s="145">
        <v>0</v>
      </c>
      <c r="M6" s="7">
        <v>3</v>
      </c>
      <c r="N6" s="119">
        <f t="shared" si="1"/>
        <v>0</v>
      </c>
      <c r="O6" s="116">
        <f t="shared" si="2"/>
        <v>2</v>
      </c>
      <c r="P6" s="117">
        <f t="shared" si="3"/>
        <v>0</v>
      </c>
      <c r="Q6" s="118">
        <f t="shared" si="4"/>
        <v>0</v>
      </c>
      <c r="R6" s="115">
        <f t="shared" si="5"/>
        <v>0</v>
      </c>
      <c r="S6" s="116">
        <f t="shared" si="6"/>
        <v>0</v>
      </c>
      <c r="T6" s="117">
        <f t="shared" si="7"/>
        <v>0</v>
      </c>
      <c r="U6" s="118">
        <f t="shared" si="8"/>
        <v>0</v>
      </c>
      <c r="V6" s="115">
        <f t="shared" si="9"/>
        <v>0</v>
      </c>
      <c r="W6" s="116">
        <f t="shared" si="10"/>
        <v>0</v>
      </c>
    </row>
    <row r="7" spans="1:43" x14ac:dyDescent="0.2">
      <c r="A7" s="7">
        <v>4</v>
      </c>
      <c r="B7" s="2">
        <v>0</v>
      </c>
      <c r="C7" s="6">
        <v>3</v>
      </c>
      <c r="D7" s="4">
        <v>0</v>
      </c>
      <c r="E7" s="49">
        <v>2</v>
      </c>
      <c r="F7" s="2">
        <v>0</v>
      </c>
      <c r="G7" s="6">
        <v>0</v>
      </c>
      <c r="H7" s="4">
        <v>0</v>
      </c>
      <c r="I7" s="49">
        <v>0</v>
      </c>
      <c r="J7" s="140">
        <v>0</v>
      </c>
      <c r="K7" s="141">
        <v>0</v>
      </c>
      <c r="M7" s="7">
        <v>4</v>
      </c>
      <c r="N7" s="119">
        <f t="shared" si="1"/>
        <v>0</v>
      </c>
      <c r="O7" s="116">
        <f t="shared" si="2"/>
        <v>1</v>
      </c>
      <c r="P7" s="117">
        <f t="shared" si="3"/>
        <v>0</v>
      </c>
      <c r="Q7" s="118">
        <f t="shared" si="4"/>
        <v>2</v>
      </c>
      <c r="R7" s="115">
        <f t="shared" si="5"/>
        <v>0</v>
      </c>
      <c r="S7" s="116">
        <f t="shared" si="6"/>
        <v>0</v>
      </c>
      <c r="T7" s="117">
        <f t="shared" si="7"/>
        <v>0</v>
      </c>
      <c r="U7" s="118">
        <f t="shared" si="8"/>
        <v>0</v>
      </c>
      <c r="V7" s="115">
        <f t="shared" si="9"/>
        <v>0</v>
      </c>
      <c r="W7" s="116">
        <f t="shared" si="10"/>
        <v>0</v>
      </c>
    </row>
    <row r="8" spans="1:43" x14ac:dyDescent="0.2">
      <c r="A8" s="7">
        <v>5</v>
      </c>
      <c r="B8" s="1">
        <v>1</v>
      </c>
      <c r="C8" s="5">
        <v>4</v>
      </c>
      <c r="D8" s="3">
        <v>0</v>
      </c>
      <c r="E8" s="51">
        <v>2</v>
      </c>
      <c r="F8" s="1">
        <v>0</v>
      </c>
      <c r="G8" s="5">
        <v>0</v>
      </c>
      <c r="H8" s="3">
        <v>0</v>
      </c>
      <c r="I8" s="51">
        <v>0</v>
      </c>
      <c r="J8" s="144">
        <v>0</v>
      </c>
      <c r="K8" s="145">
        <v>0</v>
      </c>
      <c r="M8" s="7">
        <v>5</v>
      </c>
      <c r="N8" s="119">
        <f t="shared" si="1"/>
        <v>1</v>
      </c>
      <c r="O8" s="116">
        <f t="shared" si="2"/>
        <v>1</v>
      </c>
      <c r="P8" s="117">
        <f t="shared" si="3"/>
        <v>0</v>
      </c>
      <c r="Q8" s="118">
        <f t="shared" si="4"/>
        <v>0</v>
      </c>
      <c r="R8" s="115">
        <f t="shared" si="5"/>
        <v>0</v>
      </c>
      <c r="S8" s="116">
        <f t="shared" si="6"/>
        <v>0</v>
      </c>
      <c r="T8" s="117">
        <f t="shared" si="7"/>
        <v>0</v>
      </c>
      <c r="U8" s="118">
        <f t="shared" si="8"/>
        <v>0</v>
      </c>
      <c r="V8" s="115">
        <f t="shared" si="9"/>
        <v>0</v>
      </c>
      <c r="W8" s="116">
        <f t="shared" si="10"/>
        <v>0</v>
      </c>
    </row>
    <row r="9" spans="1:43" x14ac:dyDescent="0.2">
      <c r="A9" s="7">
        <v>6</v>
      </c>
      <c r="B9" s="2">
        <v>1</v>
      </c>
      <c r="C9" s="6">
        <v>4</v>
      </c>
      <c r="D9" s="4">
        <v>1</v>
      </c>
      <c r="E9" s="49">
        <v>3</v>
      </c>
      <c r="F9" s="2">
        <v>0</v>
      </c>
      <c r="G9" s="6">
        <v>0</v>
      </c>
      <c r="H9" s="4">
        <v>0</v>
      </c>
      <c r="I9" s="49">
        <v>1</v>
      </c>
      <c r="J9" s="140">
        <v>0</v>
      </c>
      <c r="K9" s="141">
        <v>0</v>
      </c>
      <c r="M9" s="7">
        <v>6</v>
      </c>
      <c r="N9" s="119">
        <f t="shared" si="1"/>
        <v>0</v>
      </c>
      <c r="O9" s="116">
        <f t="shared" si="2"/>
        <v>0</v>
      </c>
      <c r="P9" s="117">
        <f t="shared" si="3"/>
        <v>1</v>
      </c>
      <c r="Q9" s="118">
        <f t="shared" si="4"/>
        <v>1</v>
      </c>
      <c r="R9" s="115">
        <f t="shared" si="5"/>
        <v>0</v>
      </c>
      <c r="S9" s="116">
        <f t="shared" si="6"/>
        <v>0</v>
      </c>
      <c r="T9" s="117">
        <f t="shared" si="7"/>
        <v>0</v>
      </c>
      <c r="U9" s="118">
        <f t="shared" si="8"/>
        <v>1</v>
      </c>
      <c r="V9" s="115">
        <f t="shared" si="9"/>
        <v>0</v>
      </c>
      <c r="W9" s="116">
        <f t="shared" si="10"/>
        <v>0</v>
      </c>
    </row>
    <row r="10" spans="1:43" x14ac:dyDescent="0.2">
      <c r="A10" s="7">
        <v>7</v>
      </c>
      <c r="B10" s="1">
        <v>1</v>
      </c>
      <c r="C10" s="5">
        <v>4</v>
      </c>
      <c r="D10" s="3">
        <v>1</v>
      </c>
      <c r="E10" s="51">
        <v>4</v>
      </c>
      <c r="F10" s="1">
        <v>1</v>
      </c>
      <c r="G10" s="5">
        <v>4</v>
      </c>
      <c r="H10" s="3">
        <v>0</v>
      </c>
      <c r="I10" s="51">
        <v>1</v>
      </c>
      <c r="J10" s="144">
        <v>0</v>
      </c>
      <c r="K10" s="145">
        <v>0</v>
      </c>
      <c r="M10" s="7">
        <v>7</v>
      </c>
      <c r="N10" s="119">
        <f t="shared" si="1"/>
        <v>0</v>
      </c>
      <c r="O10" s="116">
        <f t="shared" si="2"/>
        <v>0</v>
      </c>
      <c r="P10" s="117">
        <f t="shared" si="3"/>
        <v>0</v>
      </c>
      <c r="Q10" s="118">
        <f t="shared" si="4"/>
        <v>1</v>
      </c>
      <c r="R10" s="115">
        <f t="shared" si="5"/>
        <v>1</v>
      </c>
      <c r="S10" s="116">
        <f t="shared" si="6"/>
        <v>4</v>
      </c>
      <c r="T10" s="117">
        <f t="shared" si="7"/>
        <v>0</v>
      </c>
      <c r="U10" s="118">
        <f t="shared" si="8"/>
        <v>0</v>
      </c>
      <c r="V10" s="115">
        <f t="shared" si="9"/>
        <v>0</v>
      </c>
      <c r="W10" s="116">
        <f t="shared" si="10"/>
        <v>0</v>
      </c>
    </row>
    <row r="11" spans="1:43" x14ac:dyDescent="0.2">
      <c r="A11" s="7">
        <v>8</v>
      </c>
      <c r="B11" s="2">
        <v>1</v>
      </c>
      <c r="C11" s="6">
        <v>5</v>
      </c>
      <c r="D11" s="4">
        <v>1</v>
      </c>
      <c r="E11" s="49">
        <v>5</v>
      </c>
      <c r="F11" s="2">
        <v>1</v>
      </c>
      <c r="G11" s="6">
        <v>5</v>
      </c>
      <c r="H11" s="4">
        <v>0</v>
      </c>
      <c r="I11" s="49">
        <v>2</v>
      </c>
      <c r="J11" s="140">
        <v>0</v>
      </c>
      <c r="K11" s="141">
        <v>0</v>
      </c>
      <c r="M11" s="7">
        <v>8</v>
      </c>
      <c r="N11" s="119">
        <f t="shared" si="1"/>
        <v>0</v>
      </c>
      <c r="O11" s="116">
        <f t="shared" si="2"/>
        <v>1</v>
      </c>
      <c r="P11" s="117">
        <f t="shared" si="3"/>
        <v>0</v>
      </c>
      <c r="Q11" s="118">
        <f t="shared" si="4"/>
        <v>1</v>
      </c>
      <c r="R11" s="115">
        <f t="shared" si="5"/>
        <v>0</v>
      </c>
      <c r="S11" s="116">
        <f t="shared" si="6"/>
        <v>1</v>
      </c>
      <c r="T11" s="117">
        <f t="shared" si="7"/>
        <v>0</v>
      </c>
      <c r="U11" s="118">
        <f t="shared" si="8"/>
        <v>1</v>
      </c>
      <c r="V11" s="115">
        <f t="shared" si="9"/>
        <v>0</v>
      </c>
      <c r="W11" s="116">
        <f t="shared" si="10"/>
        <v>0</v>
      </c>
    </row>
    <row r="12" spans="1:43" x14ac:dyDescent="0.2">
      <c r="A12" s="7">
        <v>9</v>
      </c>
      <c r="B12" s="1">
        <v>1</v>
      </c>
      <c r="C12" s="5">
        <v>5</v>
      </c>
      <c r="D12" s="3">
        <v>1</v>
      </c>
      <c r="E12" s="51">
        <v>5</v>
      </c>
      <c r="F12" s="1">
        <v>1</v>
      </c>
      <c r="G12" s="5">
        <v>5</v>
      </c>
      <c r="H12" s="3">
        <v>1</v>
      </c>
      <c r="I12" s="51">
        <v>2</v>
      </c>
      <c r="J12" s="144">
        <v>0</v>
      </c>
      <c r="K12" s="145">
        <v>0</v>
      </c>
      <c r="M12" s="7">
        <v>9</v>
      </c>
      <c r="N12" s="119">
        <f t="shared" si="1"/>
        <v>0</v>
      </c>
      <c r="O12" s="116">
        <f t="shared" si="2"/>
        <v>0</v>
      </c>
      <c r="P12" s="117">
        <f t="shared" si="3"/>
        <v>0</v>
      </c>
      <c r="Q12" s="118">
        <f t="shared" si="4"/>
        <v>0</v>
      </c>
      <c r="R12" s="115">
        <f t="shared" si="5"/>
        <v>0</v>
      </c>
      <c r="S12" s="116">
        <f t="shared" si="6"/>
        <v>0</v>
      </c>
      <c r="T12" s="117">
        <f t="shared" si="7"/>
        <v>1</v>
      </c>
      <c r="U12" s="118">
        <f t="shared" si="8"/>
        <v>0</v>
      </c>
      <c r="V12" s="115">
        <f t="shared" si="9"/>
        <v>0</v>
      </c>
      <c r="W12" s="116">
        <f t="shared" si="10"/>
        <v>0</v>
      </c>
    </row>
    <row r="13" spans="1:43" ht="12" thickBot="1" x14ac:dyDescent="0.25">
      <c r="A13" s="8">
        <v>10</v>
      </c>
      <c r="B13" s="22">
        <v>1</v>
      </c>
      <c r="C13" s="20">
        <v>6</v>
      </c>
      <c r="D13" s="21">
        <v>1</v>
      </c>
      <c r="E13" s="52">
        <v>6</v>
      </c>
      <c r="F13" s="22">
        <v>1</v>
      </c>
      <c r="G13" s="20">
        <v>5</v>
      </c>
      <c r="H13" s="21">
        <v>1</v>
      </c>
      <c r="I13" s="52">
        <v>2</v>
      </c>
      <c r="J13" s="146">
        <v>1</v>
      </c>
      <c r="K13" s="147">
        <v>2</v>
      </c>
      <c r="M13" s="8">
        <v>10</v>
      </c>
      <c r="N13" s="121">
        <f t="shared" si="1"/>
        <v>0</v>
      </c>
      <c r="O13" s="122">
        <f t="shared" si="2"/>
        <v>1</v>
      </c>
      <c r="P13" s="123">
        <f t="shared" si="3"/>
        <v>0</v>
      </c>
      <c r="Q13" s="124">
        <f t="shared" si="4"/>
        <v>1</v>
      </c>
      <c r="R13" s="125">
        <f t="shared" si="5"/>
        <v>0</v>
      </c>
      <c r="S13" s="122">
        <f t="shared" si="6"/>
        <v>0</v>
      </c>
      <c r="T13" s="123">
        <f t="shared" si="7"/>
        <v>0</v>
      </c>
      <c r="U13" s="124">
        <f t="shared" si="8"/>
        <v>0</v>
      </c>
      <c r="V13" s="125">
        <f t="shared" si="9"/>
        <v>1</v>
      </c>
      <c r="W13" s="122">
        <f t="shared" si="10"/>
        <v>2</v>
      </c>
    </row>
    <row r="15" spans="1:43" ht="12" thickBot="1" x14ac:dyDescent="0.25"/>
    <row r="16" spans="1:43" ht="19.5" thickBot="1" x14ac:dyDescent="0.3">
      <c r="A16" s="508" t="s">
        <v>162</v>
      </c>
      <c r="B16" s="524"/>
      <c r="C16" s="524"/>
      <c r="D16" s="524"/>
      <c r="E16" s="524"/>
      <c r="F16" s="525"/>
      <c r="G16" s="525"/>
      <c r="H16" s="525"/>
      <c r="I16" s="525"/>
      <c r="J16" s="525"/>
      <c r="K16" s="525"/>
      <c r="L16" s="525"/>
      <c r="M16" s="525"/>
      <c r="N16" s="525"/>
      <c r="O16" s="525"/>
      <c r="P16" s="525"/>
      <c r="Q16" s="525"/>
      <c r="R16" s="525"/>
      <c r="S16" s="525"/>
      <c r="T16" s="525"/>
      <c r="U16" s="526"/>
      <c r="W16" s="508" t="s">
        <v>161</v>
      </c>
      <c r="X16" s="509"/>
      <c r="Y16" s="509"/>
      <c r="Z16" s="509"/>
      <c r="AA16" s="509"/>
      <c r="AB16" s="522"/>
      <c r="AC16" s="522"/>
      <c r="AD16" s="522"/>
      <c r="AE16" s="522"/>
      <c r="AF16" s="522"/>
      <c r="AG16" s="522"/>
      <c r="AH16" s="522"/>
      <c r="AI16" s="522"/>
      <c r="AJ16" s="522"/>
      <c r="AK16" s="522"/>
      <c r="AL16" s="522"/>
      <c r="AM16" s="522"/>
      <c r="AN16" s="522"/>
      <c r="AO16" s="522"/>
      <c r="AP16" s="522"/>
      <c r="AQ16" s="523"/>
    </row>
    <row r="17" spans="1:43" ht="34.5" thickBot="1" x14ac:dyDescent="0.25">
      <c r="A17" s="325" t="s">
        <v>0</v>
      </c>
      <c r="B17" s="17" t="s">
        <v>83</v>
      </c>
      <c r="C17" s="17" t="s">
        <v>1</v>
      </c>
      <c r="D17" s="17" t="s">
        <v>20</v>
      </c>
      <c r="E17" s="17" t="s">
        <v>5</v>
      </c>
      <c r="F17" s="17" t="s">
        <v>21</v>
      </c>
      <c r="G17" s="17" t="s">
        <v>6</v>
      </c>
      <c r="H17" s="17" t="s">
        <v>84</v>
      </c>
      <c r="I17" s="17" t="s">
        <v>7</v>
      </c>
      <c r="J17" s="17" t="s">
        <v>138</v>
      </c>
      <c r="K17" s="17" t="s">
        <v>8</v>
      </c>
      <c r="L17" s="17" t="s">
        <v>86</v>
      </c>
      <c r="M17" s="17" t="s">
        <v>9</v>
      </c>
      <c r="N17" s="17" t="s">
        <v>87</v>
      </c>
      <c r="O17" s="17" t="s">
        <v>10</v>
      </c>
      <c r="P17" s="17" t="s">
        <v>88</v>
      </c>
      <c r="Q17" s="17" t="s">
        <v>11</v>
      </c>
      <c r="R17" s="17" t="s">
        <v>22</v>
      </c>
      <c r="S17" s="17" t="s">
        <v>12</v>
      </c>
      <c r="T17" s="17" t="s">
        <v>23</v>
      </c>
      <c r="U17" s="89" t="s">
        <v>26</v>
      </c>
      <c r="W17" s="325" t="s">
        <v>0</v>
      </c>
      <c r="X17" s="17" t="s">
        <v>83</v>
      </c>
      <c r="Y17" s="17" t="s">
        <v>1</v>
      </c>
      <c r="Z17" s="17" t="s">
        <v>20</v>
      </c>
      <c r="AA17" s="17" t="s">
        <v>5</v>
      </c>
      <c r="AB17" s="17" t="s">
        <v>21</v>
      </c>
      <c r="AC17" s="17" t="s">
        <v>6</v>
      </c>
      <c r="AD17" s="17" t="s">
        <v>84</v>
      </c>
      <c r="AE17" s="17" t="s">
        <v>7</v>
      </c>
      <c r="AF17" s="17" t="s">
        <v>138</v>
      </c>
      <c r="AG17" s="17" t="s">
        <v>8</v>
      </c>
      <c r="AH17" s="17" t="s">
        <v>86</v>
      </c>
      <c r="AI17" s="17" t="s">
        <v>9</v>
      </c>
      <c r="AJ17" s="17" t="s">
        <v>87</v>
      </c>
      <c r="AK17" s="17" t="s">
        <v>10</v>
      </c>
      <c r="AL17" s="17" t="s">
        <v>88</v>
      </c>
      <c r="AM17" s="17" t="s">
        <v>11</v>
      </c>
      <c r="AN17" s="17" t="s">
        <v>22</v>
      </c>
      <c r="AO17" s="17" t="s">
        <v>12</v>
      </c>
      <c r="AP17" s="17" t="s">
        <v>23</v>
      </c>
      <c r="AQ17" s="89" t="s">
        <v>26</v>
      </c>
    </row>
    <row r="18" spans="1:43" x14ac:dyDescent="0.2">
      <c r="A18" s="77">
        <v>0</v>
      </c>
      <c r="B18" s="327">
        <v>0</v>
      </c>
      <c r="C18" s="328">
        <v>0</v>
      </c>
      <c r="D18" s="334">
        <v>0</v>
      </c>
      <c r="E18" s="335">
        <v>0</v>
      </c>
      <c r="F18" s="327">
        <v>0</v>
      </c>
      <c r="G18" s="328">
        <v>0</v>
      </c>
      <c r="H18" s="334">
        <v>0</v>
      </c>
      <c r="I18" s="335">
        <v>0</v>
      </c>
      <c r="J18" s="327">
        <v>0</v>
      </c>
      <c r="K18" s="328">
        <v>0</v>
      </c>
      <c r="L18" s="334">
        <v>0</v>
      </c>
      <c r="M18" s="335">
        <v>0</v>
      </c>
      <c r="N18" s="327">
        <v>0</v>
      </c>
      <c r="O18" s="328">
        <v>0</v>
      </c>
      <c r="P18" s="334">
        <v>0</v>
      </c>
      <c r="Q18" s="335">
        <v>0</v>
      </c>
      <c r="R18" s="327">
        <v>0</v>
      </c>
      <c r="S18" s="328">
        <v>0</v>
      </c>
      <c r="T18" s="334">
        <v>0</v>
      </c>
      <c r="U18" s="335">
        <v>0</v>
      </c>
      <c r="W18" s="77">
        <v>0</v>
      </c>
      <c r="X18" s="331">
        <f>'Amélirations Sorts &amp; Troupes '!B18</f>
        <v>0</v>
      </c>
      <c r="Y18" s="332">
        <f>'Amélirations Sorts &amp; Troupes '!C18</f>
        <v>0</v>
      </c>
      <c r="Z18" s="336">
        <f>'Amélirations Sorts &amp; Troupes '!D18</f>
        <v>0</v>
      </c>
      <c r="AA18" s="337">
        <f>'Amélirations Sorts &amp; Troupes '!E18</f>
        <v>0</v>
      </c>
      <c r="AB18" s="333">
        <f>'Amélirations Sorts &amp; Troupes '!F18</f>
        <v>0</v>
      </c>
      <c r="AC18" s="332">
        <f>'Amélirations Sorts &amp; Troupes '!G18</f>
        <v>0</v>
      </c>
      <c r="AD18" s="336">
        <f>'Amélirations Sorts &amp; Troupes '!H18</f>
        <v>0</v>
      </c>
      <c r="AE18" s="337">
        <f>'Amélirations Sorts &amp; Troupes '!I18</f>
        <v>0</v>
      </c>
      <c r="AF18" s="333">
        <f>'Amélirations Sorts &amp; Troupes '!J18</f>
        <v>0</v>
      </c>
      <c r="AG18" s="332">
        <f>'Amélirations Sorts &amp; Troupes '!K18</f>
        <v>0</v>
      </c>
      <c r="AH18" s="336">
        <f>'Amélirations Sorts &amp; Troupes '!L18</f>
        <v>0</v>
      </c>
      <c r="AI18" s="337">
        <f>'Amélirations Sorts &amp; Troupes '!M18</f>
        <v>0</v>
      </c>
      <c r="AJ18" s="333">
        <f>'Amélirations Sorts &amp; Troupes '!N18</f>
        <v>0</v>
      </c>
      <c r="AK18" s="332">
        <f>'Amélirations Sorts &amp; Troupes '!O18</f>
        <v>0</v>
      </c>
      <c r="AL18" s="336">
        <f>'Amélirations Sorts &amp; Troupes '!P18</f>
        <v>0</v>
      </c>
      <c r="AM18" s="337">
        <f>'Amélirations Sorts &amp; Troupes '!Q18</f>
        <v>0</v>
      </c>
      <c r="AN18" s="333">
        <f>'Amélirations Sorts &amp; Troupes '!R18</f>
        <v>0</v>
      </c>
      <c r="AO18" s="332">
        <f>'Amélirations Sorts &amp; Troupes '!S18</f>
        <v>0</v>
      </c>
      <c r="AP18" s="336">
        <f>'Amélirations Sorts &amp; Troupes '!T18</f>
        <v>0</v>
      </c>
      <c r="AQ18" s="338">
        <f>'Amélirations Sorts &amp; Troupes '!U18</f>
        <v>0</v>
      </c>
    </row>
    <row r="19" spans="1:43" x14ac:dyDescent="0.2">
      <c r="A19" s="326">
        <v>1</v>
      </c>
      <c r="B19" s="11">
        <v>1</v>
      </c>
      <c r="C19" s="9">
        <v>1</v>
      </c>
      <c r="D19" s="10">
        <v>1</v>
      </c>
      <c r="E19" s="50">
        <v>1</v>
      </c>
      <c r="F19" s="11">
        <v>1</v>
      </c>
      <c r="G19" s="9">
        <v>1</v>
      </c>
      <c r="H19" s="10">
        <v>0</v>
      </c>
      <c r="I19" s="50">
        <v>0</v>
      </c>
      <c r="J19" s="11">
        <v>0</v>
      </c>
      <c r="K19" s="9">
        <v>0</v>
      </c>
      <c r="L19" s="10">
        <v>0</v>
      </c>
      <c r="M19" s="50">
        <v>0</v>
      </c>
      <c r="N19" s="11">
        <v>0</v>
      </c>
      <c r="O19" s="9">
        <v>0</v>
      </c>
      <c r="P19" s="10">
        <v>0</v>
      </c>
      <c r="Q19" s="50">
        <v>0</v>
      </c>
      <c r="R19" s="11">
        <v>0</v>
      </c>
      <c r="S19" s="9">
        <v>0</v>
      </c>
      <c r="T19" s="10">
        <v>0</v>
      </c>
      <c r="U19" s="50">
        <v>0</v>
      </c>
      <c r="W19" s="326">
        <v>1</v>
      </c>
      <c r="X19" s="119">
        <f>'Amélirations Sorts &amp; Troupes '!B19-'Amélirations Sorts &amp; Troupes '!B18</f>
        <v>1</v>
      </c>
      <c r="Y19" s="116">
        <f>'Amélirations Sorts &amp; Troupes '!C19-'Amélirations Sorts &amp; Troupes '!C18</f>
        <v>1</v>
      </c>
      <c r="Z19" s="117">
        <f>'Amélirations Sorts &amp; Troupes '!D19-'Amélirations Sorts &amp; Troupes '!D18</f>
        <v>1</v>
      </c>
      <c r="AA19" s="118">
        <f>'Amélirations Sorts &amp; Troupes '!E19-'Amélirations Sorts &amp; Troupes '!E18</f>
        <v>1</v>
      </c>
      <c r="AB19" s="115">
        <f>'Amélirations Sorts &amp; Troupes '!F19-'Amélirations Sorts &amp; Troupes '!F18</f>
        <v>1</v>
      </c>
      <c r="AC19" s="116">
        <f>'Amélirations Sorts &amp; Troupes '!G19-'Amélirations Sorts &amp; Troupes '!G18</f>
        <v>1</v>
      </c>
      <c r="AD19" s="117">
        <f>'Amélirations Sorts &amp; Troupes '!H19-'Amélirations Sorts &amp; Troupes '!H18</f>
        <v>0</v>
      </c>
      <c r="AE19" s="118">
        <f>'Amélirations Sorts &amp; Troupes '!I19-'Amélirations Sorts &amp; Troupes '!I18</f>
        <v>0</v>
      </c>
      <c r="AF19" s="115">
        <f>'Amélirations Sorts &amp; Troupes '!J19-'Amélirations Sorts &amp; Troupes '!J18</f>
        <v>0</v>
      </c>
      <c r="AG19" s="116">
        <f>'Amélirations Sorts &amp; Troupes '!K19-'Amélirations Sorts &amp; Troupes '!K18</f>
        <v>0</v>
      </c>
      <c r="AH19" s="117">
        <f>'Amélirations Sorts &amp; Troupes '!L19-'Amélirations Sorts &amp; Troupes '!L18</f>
        <v>0</v>
      </c>
      <c r="AI19" s="118">
        <f>'Amélirations Sorts &amp; Troupes '!M19-'Amélirations Sorts &amp; Troupes '!M18</f>
        <v>0</v>
      </c>
      <c r="AJ19" s="115">
        <f>'Amélirations Sorts &amp; Troupes '!N19-'Amélirations Sorts &amp; Troupes '!N18</f>
        <v>0</v>
      </c>
      <c r="AK19" s="116">
        <f>'Amélirations Sorts &amp; Troupes '!O19-'Amélirations Sorts &amp; Troupes '!O18</f>
        <v>0</v>
      </c>
      <c r="AL19" s="117">
        <f>'Amélirations Sorts &amp; Troupes '!P19-'Amélirations Sorts &amp; Troupes '!P18</f>
        <v>0</v>
      </c>
      <c r="AM19" s="118">
        <f>'Amélirations Sorts &amp; Troupes '!Q19-'Amélirations Sorts &amp; Troupes '!Q18</f>
        <v>0</v>
      </c>
      <c r="AN19" s="115">
        <f>'Amélirations Sorts &amp; Troupes '!R19-'Amélirations Sorts &amp; Troupes '!R18</f>
        <v>0</v>
      </c>
      <c r="AO19" s="116">
        <f>'Amélirations Sorts &amp; Troupes '!S19-'Amélirations Sorts &amp; Troupes '!S18</f>
        <v>0</v>
      </c>
      <c r="AP19" s="117">
        <f>'Amélirations Sorts &amp; Troupes '!T19-'Amélirations Sorts &amp; Troupes '!T18</f>
        <v>0</v>
      </c>
      <c r="AQ19" s="120">
        <f>'Amélirations Sorts &amp; Troupes '!U19-'Amélirations Sorts &amp; Troupes '!U18</f>
        <v>0</v>
      </c>
    </row>
    <row r="20" spans="1:43" x14ac:dyDescent="0.2">
      <c r="A20" s="7">
        <v>2</v>
      </c>
      <c r="B20" s="2">
        <v>1</v>
      </c>
      <c r="C20" s="6">
        <v>1</v>
      </c>
      <c r="D20" s="4">
        <v>1</v>
      </c>
      <c r="E20" s="49">
        <v>1</v>
      </c>
      <c r="F20" s="2">
        <v>1</v>
      </c>
      <c r="G20" s="6">
        <v>1</v>
      </c>
      <c r="H20" s="4">
        <v>1</v>
      </c>
      <c r="I20" s="49">
        <v>1</v>
      </c>
      <c r="J20" s="2">
        <v>0</v>
      </c>
      <c r="K20" s="6">
        <v>0</v>
      </c>
      <c r="L20" s="4">
        <v>0</v>
      </c>
      <c r="M20" s="49">
        <v>0</v>
      </c>
      <c r="N20" s="2">
        <v>0</v>
      </c>
      <c r="O20" s="6">
        <v>0</v>
      </c>
      <c r="P20" s="4">
        <v>0</v>
      </c>
      <c r="Q20" s="49">
        <v>0</v>
      </c>
      <c r="R20" s="2">
        <v>0</v>
      </c>
      <c r="S20" s="6">
        <v>0</v>
      </c>
      <c r="T20" s="4">
        <v>0</v>
      </c>
      <c r="U20" s="49">
        <v>0</v>
      </c>
      <c r="W20" s="7">
        <v>2</v>
      </c>
      <c r="X20" s="119">
        <f>'Amélirations Sorts &amp; Troupes '!B20-'Amélirations Sorts &amp; Troupes '!B19</f>
        <v>0</v>
      </c>
      <c r="Y20" s="116">
        <f>'Amélirations Sorts &amp; Troupes '!C20-'Amélirations Sorts &amp; Troupes '!C19</f>
        <v>0</v>
      </c>
      <c r="Z20" s="117">
        <f>'Amélirations Sorts &amp; Troupes '!D20-'Amélirations Sorts &amp; Troupes '!D19</f>
        <v>0</v>
      </c>
      <c r="AA20" s="118">
        <f>'Amélirations Sorts &amp; Troupes '!E20-'Amélirations Sorts &amp; Troupes '!E19</f>
        <v>0</v>
      </c>
      <c r="AB20" s="115">
        <f>'Amélirations Sorts &amp; Troupes '!F20-'Amélirations Sorts &amp; Troupes '!F19</f>
        <v>0</v>
      </c>
      <c r="AC20" s="116">
        <f>'Amélirations Sorts &amp; Troupes '!G20-'Amélirations Sorts &amp; Troupes '!G19</f>
        <v>0</v>
      </c>
      <c r="AD20" s="117">
        <f>'Amélirations Sorts &amp; Troupes '!H20-'Amélirations Sorts &amp; Troupes '!H19</f>
        <v>1</v>
      </c>
      <c r="AE20" s="118">
        <f>'Amélirations Sorts &amp; Troupes '!I20-'Amélirations Sorts &amp; Troupes '!I19</f>
        <v>1</v>
      </c>
      <c r="AF20" s="115">
        <f>'Amélirations Sorts &amp; Troupes '!J20-'Amélirations Sorts &amp; Troupes '!J19</f>
        <v>0</v>
      </c>
      <c r="AG20" s="116">
        <f>'Amélirations Sorts &amp; Troupes '!K20-'Amélirations Sorts &amp; Troupes '!K19</f>
        <v>0</v>
      </c>
      <c r="AH20" s="117">
        <f>'Amélirations Sorts &amp; Troupes '!L20-'Amélirations Sorts &amp; Troupes '!L19</f>
        <v>0</v>
      </c>
      <c r="AI20" s="118">
        <f>'Amélirations Sorts &amp; Troupes '!M20-'Amélirations Sorts &amp; Troupes '!M19</f>
        <v>0</v>
      </c>
      <c r="AJ20" s="115">
        <f>'Amélirations Sorts &amp; Troupes '!N20-'Amélirations Sorts &amp; Troupes '!N19</f>
        <v>0</v>
      </c>
      <c r="AK20" s="116">
        <f>'Amélirations Sorts &amp; Troupes '!O20-'Amélirations Sorts &amp; Troupes '!O19</f>
        <v>0</v>
      </c>
      <c r="AL20" s="117">
        <f>'Amélirations Sorts &amp; Troupes '!P20-'Amélirations Sorts &amp; Troupes '!P19</f>
        <v>0</v>
      </c>
      <c r="AM20" s="118">
        <f>'Amélirations Sorts &amp; Troupes '!Q20-'Amélirations Sorts &amp; Troupes '!Q19</f>
        <v>0</v>
      </c>
      <c r="AN20" s="115">
        <f>'Amélirations Sorts &amp; Troupes '!R20-'Amélirations Sorts &amp; Troupes '!R19</f>
        <v>0</v>
      </c>
      <c r="AO20" s="116">
        <f>'Amélirations Sorts &amp; Troupes '!S20-'Amélirations Sorts &amp; Troupes '!S19</f>
        <v>0</v>
      </c>
      <c r="AP20" s="117">
        <f>'Amélirations Sorts &amp; Troupes '!T20-'Amélirations Sorts &amp; Troupes '!T19</f>
        <v>0</v>
      </c>
      <c r="AQ20" s="120">
        <f>'Amélirations Sorts &amp; Troupes '!U20-'Amélirations Sorts &amp; Troupes '!U19</f>
        <v>0</v>
      </c>
    </row>
    <row r="21" spans="1:43" x14ac:dyDescent="0.2">
      <c r="A21" s="7">
        <v>3</v>
      </c>
      <c r="B21" s="1">
        <v>1</v>
      </c>
      <c r="C21" s="5">
        <v>2</v>
      </c>
      <c r="D21" s="3">
        <v>1</v>
      </c>
      <c r="E21" s="51">
        <v>2</v>
      </c>
      <c r="F21" s="1">
        <v>1</v>
      </c>
      <c r="G21" s="5">
        <v>2</v>
      </c>
      <c r="H21" s="3">
        <v>1</v>
      </c>
      <c r="I21" s="51">
        <v>1</v>
      </c>
      <c r="J21" s="1">
        <v>1</v>
      </c>
      <c r="K21" s="5">
        <v>1</v>
      </c>
      <c r="L21" s="3">
        <v>0</v>
      </c>
      <c r="M21" s="51">
        <v>0</v>
      </c>
      <c r="N21" s="1">
        <v>0</v>
      </c>
      <c r="O21" s="5">
        <v>0</v>
      </c>
      <c r="P21" s="3">
        <v>0</v>
      </c>
      <c r="Q21" s="51">
        <v>0</v>
      </c>
      <c r="R21" s="1">
        <v>0</v>
      </c>
      <c r="S21" s="5">
        <v>0</v>
      </c>
      <c r="T21" s="3">
        <v>0</v>
      </c>
      <c r="U21" s="51">
        <v>0</v>
      </c>
      <c r="W21" s="7">
        <v>3</v>
      </c>
      <c r="X21" s="119">
        <f>'Amélirations Sorts &amp; Troupes '!B21-'Amélirations Sorts &amp; Troupes '!B20</f>
        <v>0</v>
      </c>
      <c r="Y21" s="116">
        <f>'Amélirations Sorts &amp; Troupes '!C21-'Amélirations Sorts &amp; Troupes '!C20</f>
        <v>1</v>
      </c>
      <c r="Z21" s="117">
        <f>'Amélirations Sorts &amp; Troupes '!D21-'Amélirations Sorts &amp; Troupes '!D20</f>
        <v>0</v>
      </c>
      <c r="AA21" s="118">
        <f>'Amélirations Sorts &amp; Troupes '!E21-'Amélirations Sorts &amp; Troupes '!E20</f>
        <v>1</v>
      </c>
      <c r="AB21" s="115">
        <f>'Amélirations Sorts &amp; Troupes '!F21-'Amélirations Sorts &amp; Troupes '!F20</f>
        <v>0</v>
      </c>
      <c r="AC21" s="116">
        <f>'Amélirations Sorts &amp; Troupes '!G21-'Amélirations Sorts &amp; Troupes '!G20</f>
        <v>1</v>
      </c>
      <c r="AD21" s="117">
        <f>'Amélirations Sorts &amp; Troupes '!H21-'Amélirations Sorts &amp; Troupes '!H20</f>
        <v>0</v>
      </c>
      <c r="AE21" s="118">
        <f>'Amélirations Sorts &amp; Troupes '!I21-'Amélirations Sorts &amp; Troupes '!I20</f>
        <v>0</v>
      </c>
      <c r="AF21" s="115">
        <f>'Amélirations Sorts &amp; Troupes '!J21-'Amélirations Sorts &amp; Troupes '!J20</f>
        <v>1</v>
      </c>
      <c r="AG21" s="116">
        <f>'Amélirations Sorts &amp; Troupes '!K21-'Amélirations Sorts &amp; Troupes '!K20</f>
        <v>1</v>
      </c>
      <c r="AH21" s="117">
        <f>'Amélirations Sorts &amp; Troupes '!L21-'Amélirations Sorts &amp; Troupes '!L20</f>
        <v>0</v>
      </c>
      <c r="AI21" s="118">
        <f>'Amélirations Sorts &amp; Troupes '!M21-'Amélirations Sorts &amp; Troupes '!M20</f>
        <v>0</v>
      </c>
      <c r="AJ21" s="115">
        <f>'Amélirations Sorts &amp; Troupes '!N21-'Amélirations Sorts &amp; Troupes '!N20</f>
        <v>0</v>
      </c>
      <c r="AK21" s="116">
        <f>'Amélirations Sorts &amp; Troupes '!O21-'Amélirations Sorts &amp; Troupes '!O20</f>
        <v>0</v>
      </c>
      <c r="AL21" s="117">
        <f>'Amélirations Sorts &amp; Troupes '!P21-'Amélirations Sorts &amp; Troupes '!P20</f>
        <v>0</v>
      </c>
      <c r="AM21" s="118">
        <f>'Amélirations Sorts &amp; Troupes '!Q21-'Amélirations Sorts &amp; Troupes '!Q20</f>
        <v>0</v>
      </c>
      <c r="AN21" s="115">
        <f>'Amélirations Sorts &amp; Troupes '!R21-'Amélirations Sorts &amp; Troupes '!R20</f>
        <v>0</v>
      </c>
      <c r="AO21" s="116">
        <f>'Amélirations Sorts &amp; Troupes '!S21-'Amélirations Sorts &amp; Troupes '!S20</f>
        <v>0</v>
      </c>
      <c r="AP21" s="117">
        <f>'Amélirations Sorts &amp; Troupes '!T21-'Amélirations Sorts &amp; Troupes '!T20</f>
        <v>0</v>
      </c>
      <c r="AQ21" s="120">
        <f>'Amélirations Sorts &amp; Troupes '!U21-'Amélirations Sorts &amp; Troupes '!U20</f>
        <v>0</v>
      </c>
    </row>
    <row r="22" spans="1:43" x14ac:dyDescent="0.2">
      <c r="A22" s="7">
        <v>4</v>
      </c>
      <c r="B22" s="2">
        <v>1</v>
      </c>
      <c r="C22" s="6">
        <v>2</v>
      </c>
      <c r="D22" s="4">
        <v>1</v>
      </c>
      <c r="E22" s="49">
        <v>2</v>
      </c>
      <c r="F22" s="2">
        <v>1</v>
      </c>
      <c r="G22" s="6">
        <v>2</v>
      </c>
      <c r="H22" s="4">
        <v>1</v>
      </c>
      <c r="I22" s="49">
        <v>2</v>
      </c>
      <c r="J22" s="2">
        <v>1</v>
      </c>
      <c r="K22" s="6">
        <v>2</v>
      </c>
      <c r="L22" s="4">
        <v>1</v>
      </c>
      <c r="M22" s="49">
        <v>2</v>
      </c>
      <c r="N22" s="2">
        <v>0</v>
      </c>
      <c r="O22" s="6">
        <v>0</v>
      </c>
      <c r="P22" s="4">
        <v>0</v>
      </c>
      <c r="Q22" s="49">
        <v>0</v>
      </c>
      <c r="R22" s="2">
        <v>0</v>
      </c>
      <c r="S22" s="6">
        <v>0</v>
      </c>
      <c r="T22" s="4">
        <v>0</v>
      </c>
      <c r="U22" s="49">
        <v>0</v>
      </c>
      <c r="W22" s="7">
        <v>4</v>
      </c>
      <c r="X22" s="119">
        <f>'Amélirations Sorts &amp; Troupes '!B22-'Amélirations Sorts &amp; Troupes '!B21</f>
        <v>0</v>
      </c>
      <c r="Y22" s="116">
        <f>'Amélirations Sorts &amp; Troupes '!C22-'Amélirations Sorts &amp; Troupes '!C21</f>
        <v>0</v>
      </c>
      <c r="Z22" s="117">
        <f>'Amélirations Sorts &amp; Troupes '!D22-'Amélirations Sorts &amp; Troupes '!D21</f>
        <v>0</v>
      </c>
      <c r="AA22" s="118">
        <f>'Amélirations Sorts &amp; Troupes '!E22-'Amélirations Sorts &amp; Troupes '!E21</f>
        <v>0</v>
      </c>
      <c r="AB22" s="115">
        <f>'Amélirations Sorts &amp; Troupes '!F22-'Amélirations Sorts &amp; Troupes '!F21</f>
        <v>0</v>
      </c>
      <c r="AC22" s="116">
        <f>'Amélirations Sorts &amp; Troupes '!G22-'Amélirations Sorts &amp; Troupes '!G21</f>
        <v>0</v>
      </c>
      <c r="AD22" s="117">
        <f>'Amélirations Sorts &amp; Troupes '!H22-'Amélirations Sorts &amp; Troupes '!H21</f>
        <v>0</v>
      </c>
      <c r="AE22" s="118">
        <f>'Amélirations Sorts &amp; Troupes '!I22-'Amélirations Sorts &amp; Troupes '!I21</f>
        <v>1</v>
      </c>
      <c r="AF22" s="115">
        <f>'Amélirations Sorts &amp; Troupes '!J22-'Amélirations Sorts &amp; Troupes '!J21</f>
        <v>0</v>
      </c>
      <c r="AG22" s="116">
        <f>'Amélirations Sorts &amp; Troupes '!K22-'Amélirations Sorts &amp; Troupes '!K21</f>
        <v>1</v>
      </c>
      <c r="AH22" s="117">
        <f>'Amélirations Sorts &amp; Troupes '!L22-'Amélirations Sorts &amp; Troupes '!L21</f>
        <v>1</v>
      </c>
      <c r="AI22" s="118">
        <f>'Amélirations Sorts &amp; Troupes '!M22-'Amélirations Sorts &amp; Troupes '!M21</f>
        <v>2</v>
      </c>
      <c r="AJ22" s="115">
        <f>'Amélirations Sorts &amp; Troupes '!N22-'Amélirations Sorts &amp; Troupes '!N21</f>
        <v>0</v>
      </c>
      <c r="AK22" s="116">
        <f>'Amélirations Sorts &amp; Troupes '!O22-'Amélirations Sorts &amp; Troupes '!O21</f>
        <v>0</v>
      </c>
      <c r="AL22" s="117">
        <f>'Amélirations Sorts &amp; Troupes '!P22-'Amélirations Sorts &amp; Troupes '!P21</f>
        <v>0</v>
      </c>
      <c r="AM22" s="118">
        <f>'Amélirations Sorts &amp; Troupes '!Q22-'Amélirations Sorts &amp; Troupes '!Q21</f>
        <v>0</v>
      </c>
      <c r="AN22" s="115">
        <f>'Amélirations Sorts &amp; Troupes '!R22-'Amélirations Sorts &amp; Troupes '!R21</f>
        <v>0</v>
      </c>
      <c r="AO22" s="116">
        <f>'Amélirations Sorts &amp; Troupes '!S22-'Amélirations Sorts &amp; Troupes '!S21</f>
        <v>0</v>
      </c>
      <c r="AP22" s="117">
        <f>'Amélirations Sorts &amp; Troupes '!T22-'Amélirations Sorts &amp; Troupes '!T21</f>
        <v>0</v>
      </c>
      <c r="AQ22" s="120">
        <f>'Amélirations Sorts &amp; Troupes '!U22-'Amélirations Sorts &amp; Troupes '!U21</f>
        <v>0</v>
      </c>
    </row>
    <row r="23" spans="1:43" x14ac:dyDescent="0.2">
      <c r="A23" s="7">
        <v>5</v>
      </c>
      <c r="B23" s="1">
        <v>1</v>
      </c>
      <c r="C23" s="5">
        <v>3</v>
      </c>
      <c r="D23" s="3">
        <v>1</v>
      </c>
      <c r="E23" s="51">
        <v>3</v>
      </c>
      <c r="F23" s="1">
        <v>1</v>
      </c>
      <c r="G23" s="5">
        <v>3</v>
      </c>
      <c r="H23" s="3">
        <v>1</v>
      </c>
      <c r="I23" s="51">
        <v>2</v>
      </c>
      <c r="J23" s="1">
        <v>1</v>
      </c>
      <c r="K23" s="5">
        <v>2</v>
      </c>
      <c r="L23" s="3">
        <v>1</v>
      </c>
      <c r="M23" s="51">
        <v>2</v>
      </c>
      <c r="N23" s="1">
        <v>1</v>
      </c>
      <c r="O23" s="5">
        <v>2</v>
      </c>
      <c r="P23" s="3">
        <v>0</v>
      </c>
      <c r="Q23" s="51">
        <v>0</v>
      </c>
      <c r="R23" s="1">
        <v>0</v>
      </c>
      <c r="S23" s="5">
        <v>0</v>
      </c>
      <c r="T23" s="3">
        <v>0</v>
      </c>
      <c r="U23" s="51">
        <v>0</v>
      </c>
      <c r="W23" s="7">
        <v>5</v>
      </c>
      <c r="X23" s="119">
        <f>'Amélirations Sorts &amp; Troupes '!B23-'Amélirations Sorts &amp; Troupes '!B22</f>
        <v>0</v>
      </c>
      <c r="Y23" s="116">
        <f>'Amélirations Sorts &amp; Troupes '!C23-'Amélirations Sorts &amp; Troupes '!C22</f>
        <v>1</v>
      </c>
      <c r="Z23" s="117">
        <f>'Amélirations Sorts &amp; Troupes '!D23-'Amélirations Sorts &amp; Troupes '!D22</f>
        <v>0</v>
      </c>
      <c r="AA23" s="118">
        <f>'Amélirations Sorts &amp; Troupes '!E23-'Amélirations Sorts &amp; Troupes '!E22</f>
        <v>1</v>
      </c>
      <c r="AB23" s="115">
        <f>'Amélirations Sorts &amp; Troupes '!F23-'Amélirations Sorts &amp; Troupes '!F22</f>
        <v>0</v>
      </c>
      <c r="AC23" s="116">
        <f>'Amélirations Sorts &amp; Troupes '!G23-'Amélirations Sorts &amp; Troupes '!G22</f>
        <v>1</v>
      </c>
      <c r="AD23" s="117">
        <f>'Amélirations Sorts &amp; Troupes '!H23-'Amélirations Sorts &amp; Troupes '!H22</f>
        <v>0</v>
      </c>
      <c r="AE23" s="118">
        <f>'Amélirations Sorts &amp; Troupes '!I23-'Amélirations Sorts &amp; Troupes '!I22</f>
        <v>0</v>
      </c>
      <c r="AF23" s="115">
        <f>'Amélirations Sorts &amp; Troupes '!J23-'Amélirations Sorts &amp; Troupes '!J22</f>
        <v>0</v>
      </c>
      <c r="AG23" s="116">
        <f>'Amélirations Sorts &amp; Troupes '!K23-'Amélirations Sorts &amp; Troupes '!K22</f>
        <v>0</v>
      </c>
      <c r="AH23" s="117">
        <f>'Amélirations Sorts &amp; Troupes '!L23-'Amélirations Sorts &amp; Troupes '!L22</f>
        <v>0</v>
      </c>
      <c r="AI23" s="118">
        <f>'Amélirations Sorts &amp; Troupes '!M23-'Amélirations Sorts &amp; Troupes '!M22</f>
        <v>0</v>
      </c>
      <c r="AJ23" s="115">
        <f>'Amélirations Sorts &amp; Troupes '!N23-'Amélirations Sorts &amp; Troupes '!N22</f>
        <v>1</v>
      </c>
      <c r="AK23" s="116">
        <f>'Amélirations Sorts &amp; Troupes '!O23-'Amélirations Sorts &amp; Troupes '!O22</f>
        <v>2</v>
      </c>
      <c r="AL23" s="117">
        <f>'Amélirations Sorts &amp; Troupes '!P23-'Amélirations Sorts &amp; Troupes '!P22</f>
        <v>0</v>
      </c>
      <c r="AM23" s="118">
        <f>'Amélirations Sorts &amp; Troupes '!Q23-'Amélirations Sorts &amp; Troupes '!Q22</f>
        <v>0</v>
      </c>
      <c r="AN23" s="115">
        <f>'Amélirations Sorts &amp; Troupes '!R23-'Amélirations Sorts &amp; Troupes '!R22</f>
        <v>0</v>
      </c>
      <c r="AO23" s="116">
        <f>'Amélirations Sorts &amp; Troupes '!S23-'Amélirations Sorts &amp; Troupes '!S22</f>
        <v>0</v>
      </c>
      <c r="AP23" s="117">
        <f>'Amélirations Sorts &amp; Troupes '!T23-'Amélirations Sorts &amp; Troupes '!T22</f>
        <v>0</v>
      </c>
      <c r="AQ23" s="120">
        <f>'Amélirations Sorts &amp; Troupes '!U23-'Amélirations Sorts &amp; Troupes '!U22</f>
        <v>0</v>
      </c>
    </row>
    <row r="24" spans="1:43" x14ac:dyDescent="0.2">
      <c r="A24" s="7">
        <v>6</v>
      </c>
      <c r="B24" s="2">
        <v>1</v>
      </c>
      <c r="C24" s="6">
        <v>3</v>
      </c>
      <c r="D24" s="4">
        <v>1</v>
      </c>
      <c r="E24" s="49">
        <v>3</v>
      </c>
      <c r="F24" s="2">
        <v>1</v>
      </c>
      <c r="G24" s="6">
        <v>3</v>
      </c>
      <c r="H24" s="4">
        <v>1</v>
      </c>
      <c r="I24" s="49">
        <v>3</v>
      </c>
      <c r="J24" s="2">
        <v>1</v>
      </c>
      <c r="K24" s="6">
        <v>3</v>
      </c>
      <c r="L24" s="4">
        <v>1</v>
      </c>
      <c r="M24" s="49">
        <v>3</v>
      </c>
      <c r="N24" s="2">
        <v>1</v>
      </c>
      <c r="O24" s="6">
        <v>3</v>
      </c>
      <c r="P24" s="4">
        <v>1</v>
      </c>
      <c r="Q24" s="49">
        <v>1</v>
      </c>
      <c r="R24" s="2">
        <v>0</v>
      </c>
      <c r="S24" s="6">
        <v>0</v>
      </c>
      <c r="T24" s="4">
        <v>0</v>
      </c>
      <c r="U24" s="49">
        <v>0</v>
      </c>
      <c r="W24" s="7">
        <v>6</v>
      </c>
      <c r="X24" s="119">
        <f>'Amélirations Sorts &amp; Troupes '!B24-'Amélirations Sorts &amp; Troupes '!B23</f>
        <v>0</v>
      </c>
      <c r="Y24" s="116">
        <f>'Amélirations Sorts &amp; Troupes '!C24-'Amélirations Sorts &amp; Troupes '!C23</f>
        <v>0</v>
      </c>
      <c r="Z24" s="117">
        <f>'Amélirations Sorts &amp; Troupes '!D24-'Amélirations Sorts &amp; Troupes '!D23</f>
        <v>0</v>
      </c>
      <c r="AA24" s="118">
        <f>'Amélirations Sorts &amp; Troupes '!E24-'Amélirations Sorts &amp; Troupes '!E23</f>
        <v>0</v>
      </c>
      <c r="AB24" s="115">
        <f>'Amélirations Sorts &amp; Troupes '!F24-'Amélirations Sorts &amp; Troupes '!F23</f>
        <v>0</v>
      </c>
      <c r="AC24" s="116">
        <f>'Amélirations Sorts &amp; Troupes '!G24-'Amélirations Sorts &amp; Troupes '!G23</f>
        <v>0</v>
      </c>
      <c r="AD24" s="117">
        <f>'Amélirations Sorts &amp; Troupes '!H24-'Amélirations Sorts &amp; Troupes '!H23</f>
        <v>0</v>
      </c>
      <c r="AE24" s="118">
        <f>'Amélirations Sorts &amp; Troupes '!I24-'Amélirations Sorts &amp; Troupes '!I23</f>
        <v>1</v>
      </c>
      <c r="AF24" s="115">
        <f>'Amélirations Sorts &amp; Troupes '!J24-'Amélirations Sorts &amp; Troupes '!J23</f>
        <v>0</v>
      </c>
      <c r="AG24" s="116">
        <f>'Amélirations Sorts &amp; Troupes '!K24-'Amélirations Sorts &amp; Troupes '!K23</f>
        <v>1</v>
      </c>
      <c r="AH24" s="117">
        <f>'Amélirations Sorts &amp; Troupes '!L24-'Amélirations Sorts &amp; Troupes '!L23</f>
        <v>0</v>
      </c>
      <c r="AI24" s="118">
        <f>'Amélirations Sorts &amp; Troupes '!M24-'Amélirations Sorts &amp; Troupes '!M23</f>
        <v>1</v>
      </c>
      <c r="AJ24" s="115">
        <f>'Amélirations Sorts &amp; Troupes '!N24-'Amélirations Sorts &amp; Troupes '!N23</f>
        <v>0</v>
      </c>
      <c r="AK24" s="116">
        <f>'Amélirations Sorts &amp; Troupes '!O24-'Amélirations Sorts &amp; Troupes '!O23</f>
        <v>1</v>
      </c>
      <c r="AL24" s="117">
        <f>'Amélirations Sorts &amp; Troupes '!P24-'Amélirations Sorts &amp; Troupes '!P23</f>
        <v>1</v>
      </c>
      <c r="AM24" s="118">
        <f>'Amélirations Sorts &amp; Troupes '!Q24-'Amélirations Sorts &amp; Troupes '!Q23</f>
        <v>1</v>
      </c>
      <c r="AN24" s="115">
        <f>'Amélirations Sorts &amp; Troupes '!R24-'Amélirations Sorts &amp; Troupes '!R23</f>
        <v>0</v>
      </c>
      <c r="AO24" s="116">
        <f>'Amélirations Sorts &amp; Troupes '!S24-'Amélirations Sorts &amp; Troupes '!S23</f>
        <v>0</v>
      </c>
      <c r="AP24" s="117">
        <f>'Amélirations Sorts &amp; Troupes '!T24-'Amélirations Sorts &amp; Troupes '!T23</f>
        <v>0</v>
      </c>
      <c r="AQ24" s="120">
        <f>'Amélirations Sorts &amp; Troupes '!U24-'Amélirations Sorts &amp; Troupes '!U23</f>
        <v>0</v>
      </c>
    </row>
    <row r="25" spans="1:43" x14ac:dyDescent="0.2">
      <c r="A25" s="7">
        <v>7</v>
      </c>
      <c r="B25" s="1">
        <v>1</v>
      </c>
      <c r="C25" s="5">
        <v>4</v>
      </c>
      <c r="D25" s="3">
        <v>1</v>
      </c>
      <c r="E25" s="51">
        <v>4</v>
      </c>
      <c r="F25" s="1">
        <v>1</v>
      </c>
      <c r="G25" s="5">
        <v>4</v>
      </c>
      <c r="H25" s="3">
        <v>1</v>
      </c>
      <c r="I25" s="51">
        <v>4</v>
      </c>
      <c r="J25" s="1">
        <v>1</v>
      </c>
      <c r="K25" s="5">
        <v>4</v>
      </c>
      <c r="L25" s="3">
        <v>1</v>
      </c>
      <c r="M25" s="51">
        <v>4</v>
      </c>
      <c r="N25" s="1">
        <v>1</v>
      </c>
      <c r="O25" s="5">
        <v>4</v>
      </c>
      <c r="P25" s="3">
        <v>1</v>
      </c>
      <c r="Q25" s="51">
        <v>2</v>
      </c>
      <c r="R25" s="1">
        <v>1</v>
      </c>
      <c r="S25" s="5">
        <v>2</v>
      </c>
      <c r="T25" s="3">
        <v>0</v>
      </c>
      <c r="U25" s="51">
        <v>0</v>
      </c>
      <c r="W25" s="7">
        <v>7</v>
      </c>
      <c r="X25" s="119">
        <f>'Amélirations Sorts &amp; Troupes '!B25-'Amélirations Sorts &amp; Troupes '!B24</f>
        <v>0</v>
      </c>
      <c r="Y25" s="116">
        <f>'Amélirations Sorts &amp; Troupes '!C25-'Amélirations Sorts &amp; Troupes '!C24</f>
        <v>1</v>
      </c>
      <c r="Z25" s="117">
        <f>'Amélirations Sorts &amp; Troupes '!D25-'Amélirations Sorts &amp; Troupes '!D24</f>
        <v>0</v>
      </c>
      <c r="AA25" s="118">
        <f>'Amélirations Sorts &amp; Troupes '!E25-'Amélirations Sorts &amp; Troupes '!E24</f>
        <v>1</v>
      </c>
      <c r="AB25" s="115">
        <f>'Amélirations Sorts &amp; Troupes '!F25-'Amélirations Sorts &amp; Troupes '!F24</f>
        <v>0</v>
      </c>
      <c r="AC25" s="116">
        <f>'Amélirations Sorts &amp; Troupes '!G25-'Amélirations Sorts &amp; Troupes '!G24</f>
        <v>1</v>
      </c>
      <c r="AD25" s="117">
        <f>'Amélirations Sorts &amp; Troupes '!H25-'Amélirations Sorts &amp; Troupes '!H24</f>
        <v>0</v>
      </c>
      <c r="AE25" s="118">
        <f>'Amélirations Sorts &amp; Troupes '!I25-'Amélirations Sorts &amp; Troupes '!I24</f>
        <v>1</v>
      </c>
      <c r="AF25" s="115">
        <f>'Amélirations Sorts &amp; Troupes '!J25-'Amélirations Sorts &amp; Troupes '!J24</f>
        <v>0</v>
      </c>
      <c r="AG25" s="116">
        <f>'Amélirations Sorts &amp; Troupes '!K25-'Amélirations Sorts &amp; Troupes '!K24</f>
        <v>1</v>
      </c>
      <c r="AH25" s="117">
        <f>'Amélirations Sorts &amp; Troupes '!L25-'Amélirations Sorts &amp; Troupes '!L24</f>
        <v>0</v>
      </c>
      <c r="AI25" s="118">
        <f>'Amélirations Sorts &amp; Troupes '!M25-'Amélirations Sorts &amp; Troupes '!M24</f>
        <v>1</v>
      </c>
      <c r="AJ25" s="115">
        <f>'Amélirations Sorts &amp; Troupes '!N25-'Amélirations Sorts &amp; Troupes '!N24</f>
        <v>0</v>
      </c>
      <c r="AK25" s="116">
        <f>'Amélirations Sorts &amp; Troupes '!O25-'Amélirations Sorts &amp; Troupes '!O24</f>
        <v>1</v>
      </c>
      <c r="AL25" s="117">
        <f>'Amélirations Sorts &amp; Troupes '!P25-'Amélirations Sorts &amp; Troupes '!P24</f>
        <v>0</v>
      </c>
      <c r="AM25" s="118">
        <f>'Amélirations Sorts &amp; Troupes '!Q25-'Amélirations Sorts &amp; Troupes '!Q24</f>
        <v>1</v>
      </c>
      <c r="AN25" s="115">
        <f>'Amélirations Sorts &amp; Troupes '!R25-'Amélirations Sorts &amp; Troupes '!R24</f>
        <v>1</v>
      </c>
      <c r="AO25" s="116">
        <f>'Amélirations Sorts &amp; Troupes '!S25-'Amélirations Sorts &amp; Troupes '!S24</f>
        <v>2</v>
      </c>
      <c r="AP25" s="117">
        <f>'Amélirations Sorts &amp; Troupes '!T25-'Amélirations Sorts &amp; Troupes '!T24</f>
        <v>0</v>
      </c>
      <c r="AQ25" s="120">
        <f>'Amélirations Sorts &amp; Troupes '!U25-'Amélirations Sorts &amp; Troupes '!U24</f>
        <v>0</v>
      </c>
    </row>
    <row r="26" spans="1:43" x14ac:dyDescent="0.2">
      <c r="A26" s="7">
        <v>8</v>
      </c>
      <c r="B26" s="2">
        <v>1</v>
      </c>
      <c r="C26" s="6">
        <v>5</v>
      </c>
      <c r="D26" s="4">
        <v>1</v>
      </c>
      <c r="E26" s="49">
        <v>5</v>
      </c>
      <c r="F26" s="2">
        <v>1</v>
      </c>
      <c r="G26" s="6">
        <v>5</v>
      </c>
      <c r="H26" s="4">
        <v>1</v>
      </c>
      <c r="I26" s="49">
        <v>5</v>
      </c>
      <c r="J26" s="2">
        <v>1</v>
      </c>
      <c r="K26" s="6">
        <v>5</v>
      </c>
      <c r="L26" s="4">
        <v>1</v>
      </c>
      <c r="M26" s="49">
        <v>5</v>
      </c>
      <c r="N26" s="2">
        <v>1</v>
      </c>
      <c r="O26" s="6">
        <v>5</v>
      </c>
      <c r="P26" s="4">
        <v>1</v>
      </c>
      <c r="Q26" s="49">
        <v>3</v>
      </c>
      <c r="R26" s="2">
        <v>1</v>
      </c>
      <c r="S26" s="6">
        <v>3</v>
      </c>
      <c r="T26" s="4">
        <v>1</v>
      </c>
      <c r="U26" s="49">
        <v>3</v>
      </c>
      <c r="W26" s="7">
        <v>8</v>
      </c>
      <c r="X26" s="119">
        <f>'Amélirations Sorts &amp; Troupes '!B26-'Amélirations Sorts &amp; Troupes '!B25</f>
        <v>0</v>
      </c>
      <c r="Y26" s="116">
        <f>'Amélirations Sorts &amp; Troupes '!C26-'Amélirations Sorts &amp; Troupes '!C25</f>
        <v>1</v>
      </c>
      <c r="Z26" s="117">
        <f>'Amélirations Sorts &amp; Troupes '!D26-'Amélirations Sorts &amp; Troupes '!D25</f>
        <v>0</v>
      </c>
      <c r="AA26" s="118">
        <f>'Amélirations Sorts &amp; Troupes '!E26-'Amélirations Sorts &amp; Troupes '!E25</f>
        <v>1</v>
      </c>
      <c r="AB26" s="115">
        <f>'Amélirations Sorts &amp; Troupes '!F26-'Amélirations Sorts &amp; Troupes '!F25</f>
        <v>0</v>
      </c>
      <c r="AC26" s="116">
        <f>'Amélirations Sorts &amp; Troupes '!G26-'Amélirations Sorts &amp; Troupes '!G25</f>
        <v>1</v>
      </c>
      <c r="AD26" s="117">
        <f>'Amélirations Sorts &amp; Troupes '!H26-'Amélirations Sorts &amp; Troupes '!H25</f>
        <v>0</v>
      </c>
      <c r="AE26" s="118">
        <f>'Amélirations Sorts &amp; Troupes '!I26-'Amélirations Sorts &amp; Troupes '!I25</f>
        <v>1</v>
      </c>
      <c r="AF26" s="115">
        <f>'Amélirations Sorts &amp; Troupes '!J26-'Amélirations Sorts &amp; Troupes '!J25</f>
        <v>0</v>
      </c>
      <c r="AG26" s="116">
        <f>'Amélirations Sorts &amp; Troupes '!K26-'Amélirations Sorts &amp; Troupes '!K25</f>
        <v>1</v>
      </c>
      <c r="AH26" s="117">
        <f>'Amélirations Sorts &amp; Troupes '!L26-'Amélirations Sorts &amp; Troupes '!L25</f>
        <v>0</v>
      </c>
      <c r="AI26" s="118">
        <f>'Amélirations Sorts &amp; Troupes '!M26-'Amélirations Sorts &amp; Troupes '!M25</f>
        <v>1</v>
      </c>
      <c r="AJ26" s="115">
        <f>'Amélirations Sorts &amp; Troupes '!N26-'Amélirations Sorts &amp; Troupes '!N25</f>
        <v>0</v>
      </c>
      <c r="AK26" s="116">
        <f>'Amélirations Sorts &amp; Troupes '!O26-'Amélirations Sorts &amp; Troupes '!O25</f>
        <v>1</v>
      </c>
      <c r="AL26" s="117">
        <f>'Amélirations Sorts &amp; Troupes '!P26-'Amélirations Sorts &amp; Troupes '!P25</f>
        <v>0</v>
      </c>
      <c r="AM26" s="118">
        <f>'Amélirations Sorts &amp; Troupes '!Q26-'Amélirations Sorts &amp; Troupes '!Q25</f>
        <v>1</v>
      </c>
      <c r="AN26" s="115">
        <f>'Amélirations Sorts &amp; Troupes '!R26-'Amélirations Sorts &amp; Troupes '!R25</f>
        <v>0</v>
      </c>
      <c r="AO26" s="116">
        <f>'Amélirations Sorts &amp; Troupes '!S26-'Amélirations Sorts &amp; Troupes '!S25</f>
        <v>1</v>
      </c>
      <c r="AP26" s="117">
        <f>'Amélirations Sorts &amp; Troupes '!T26-'Amélirations Sorts &amp; Troupes '!T25</f>
        <v>1</v>
      </c>
      <c r="AQ26" s="120">
        <f>'Amélirations Sorts &amp; Troupes '!U26-'Amélirations Sorts &amp; Troupes '!U25</f>
        <v>3</v>
      </c>
    </row>
    <row r="27" spans="1:43" x14ac:dyDescent="0.2">
      <c r="A27" s="7">
        <v>9</v>
      </c>
      <c r="B27" s="1">
        <v>1</v>
      </c>
      <c r="C27" s="5">
        <v>6</v>
      </c>
      <c r="D27" s="3">
        <v>1</v>
      </c>
      <c r="E27" s="51">
        <v>6</v>
      </c>
      <c r="F27" s="1">
        <v>1</v>
      </c>
      <c r="G27" s="5">
        <v>5</v>
      </c>
      <c r="H27" s="3">
        <v>1</v>
      </c>
      <c r="I27" s="51">
        <v>6</v>
      </c>
      <c r="J27" s="1">
        <v>1</v>
      </c>
      <c r="K27" s="5">
        <v>5</v>
      </c>
      <c r="L27" s="3">
        <v>1</v>
      </c>
      <c r="M27" s="51">
        <v>6</v>
      </c>
      <c r="N27" s="1">
        <v>1</v>
      </c>
      <c r="O27" s="5">
        <v>5</v>
      </c>
      <c r="P27" s="3">
        <v>1</v>
      </c>
      <c r="Q27" s="51">
        <v>4</v>
      </c>
      <c r="R27" s="1">
        <v>1</v>
      </c>
      <c r="S27" s="5">
        <v>3</v>
      </c>
      <c r="T27" s="3">
        <v>1</v>
      </c>
      <c r="U27" s="51">
        <v>3</v>
      </c>
      <c r="W27" s="7">
        <v>9</v>
      </c>
      <c r="X27" s="119">
        <f>'Amélirations Sorts &amp; Troupes '!B27-'Amélirations Sorts &amp; Troupes '!B26</f>
        <v>0</v>
      </c>
      <c r="Y27" s="116">
        <f>'Amélirations Sorts &amp; Troupes '!C27-'Amélirations Sorts &amp; Troupes '!C26</f>
        <v>1</v>
      </c>
      <c r="Z27" s="117">
        <f>'Amélirations Sorts &amp; Troupes '!D27-'Amélirations Sorts &amp; Troupes '!D26</f>
        <v>0</v>
      </c>
      <c r="AA27" s="118">
        <f>'Amélirations Sorts &amp; Troupes '!E27-'Amélirations Sorts &amp; Troupes '!E26</f>
        <v>1</v>
      </c>
      <c r="AB27" s="115">
        <f>'Amélirations Sorts &amp; Troupes '!F27-'Amélirations Sorts &amp; Troupes '!F26</f>
        <v>0</v>
      </c>
      <c r="AC27" s="116">
        <f>'Amélirations Sorts &amp; Troupes '!G27-'Amélirations Sorts &amp; Troupes '!G26</f>
        <v>0</v>
      </c>
      <c r="AD27" s="117">
        <f>'Amélirations Sorts &amp; Troupes '!H27-'Amélirations Sorts &amp; Troupes '!H26</f>
        <v>0</v>
      </c>
      <c r="AE27" s="118">
        <f>'Amélirations Sorts &amp; Troupes '!I27-'Amélirations Sorts &amp; Troupes '!I26</f>
        <v>1</v>
      </c>
      <c r="AF27" s="115">
        <f>'Amélirations Sorts &amp; Troupes '!J27-'Amélirations Sorts &amp; Troupes '!J26</f>
        <v>0</v>
      </c>
      <c r="AG27" s="116">
        <f>'Amélirations Sorts &amp; Troupes '!K27-'Amélirations Sorts &amp; Troupes '!K26</f>
        <v>0</v>
      </c>
      <c r="AH27" s="117">
        <f>'Amélirations Sorts &amp; Troupes '!L27-'Amélirations Sorts &amp; Troupes '!L26</f>
        <v>0</v>
      </c>
      <c r="AI27" s="118">
        <f>'Amélirations Sorts &amp; Troupes '!M27-'Amélirations Sorts &amp; Troupes '!M26</f>
        <v>1</v>
      </c>
      <c r="AJ27" s="115">
        <f>'Amélirations Sorts &amp; Troupes '!N27-'Amélirations Sorts &amp; Troupes '!N26</f>
        <v>0</v>
      </c>
      <c r="AK27" s="116">
        <f>'Amélirations Sorts &amp; Troupes '!O27-'Amélirations Sorts &amp; Troupes '!O26</f>
        <v>0</v>
      </c>
      <c r="AL27" s="117">
        <f>'Amélirations Sorts &amp; Troupes '!P27-'Amélirations Sorts &amp; Troupes '!P26</f>
        <v>0</v>
      </c>
      <c r="AM27" s="118">
        <f>'Amélirations Sorts &amp; Troupes '!Q27-'Amélirations Sorts &amp; Troupes '!Q26</f>
        <v>1</v>
      </c>
      <c r="AN27" s="115">
        <f>'Amélirations Sorts &amp; Troupes '!R27-'Amélirations Sorts &amp; Troupes '!R26</f>
        <v>0</v>
      </c>
      <c r="AO27" s="116">
        <f>'Amélirations Sorts &amp; Troupes '!S27-'Amélirations Sorts &amp; Troupes '!S26</f>
        <v>0</v>
      </c>
      <c r="AP27" s="117">
        <f>'Amélirations Sorts &amp; Troupes '!T27-'Amélirations Sorts &amp; Troupes '!T26</f>
        <v>0</v>
      </c>
      <c r="AQ27" s="120">
        <f>'Amélirations Sorts &amp; Troupes '!U27-'Amélirations Sorts &amp; Troupes '!U26</f>
        <v>0</v>
      </c>
    </row>
    <row r="28" spans="1:43" ht="12" thickBot="1" x14ac:dyDescent="0.25">
      <c r="A28" s="8">
        <v>10</v>
      </c>
      <c r="B28" s="22">
        <v>1</v>
      </c>
      <c r="C28" s="20">
        <v>6</v>
      </c>
      <c r="D28" s="21">
        <v>1</v>
      </c>
      <c r="E28" s="52">
        <v>6</v>
      </c>
      <c r="F28" s="22">
        <v>1</v>
      </c>
      <c r="G28" s="20">
        <v>5</v>
      </c>
      <c r="H28" s="21">
        <v>1</v>
      </c>
      <c r="I28" s="52">
        <v>6</v>
      </c>
      <c r="J28" s="22">
        <v>1</v>
      </c>
      <c r="K28" s="20">
        <v>5</v>
      </c>
      <c r="L28" s="21">
        <v>1</v>
      </c>
      <c r="M28" s="52">
        <v>6</v>
      </c>
      <c r="N28" s="22">
        <v>1</v>
      </c>
      <c r="O28" s="20">
        <v>5</v>
      </c>
      <c r="P28" s="21">
        <v>1</v>
      </c>
      <c r="Q28" s="52">
        <v>4</v>
      </c>
      <c r="R28" s="22">
        <v>1</v>
      </c>
      <c r="S28" s="20">
        <v>4</v>
      </c>
      <c r="T28" s="21">
        <v>1</v>
      </c>
      <c r="U28" s="52">
        <v>4</v>
      </c>
      <c r="W28" s="8">
        <v>10</v>
      </c>
      <c r="X28" s="121">
        <f>'Amélirations Sorts &amp; Troupes '!B28-'Amélirations Sorts &amp; Troupes '!B27</f>
        <v>0</v>
      </c>
      <c r="Y28" s="122">
        <f>'Amélirations Sorts &amp; Troupes '!C28-'Amélirations Sorts &amp; Troupes '!C27</f>
        <v>0</v>
      </c>
      <c r="Z28" s="123">
        <f>'Amélirations Sorts &amp; Troupes '!D28-'Amélirations Sorts &amp; Troupes '!D27</f>
        <v>0</v>
      </c>
      <c r="AA28" s="124">
        <f>'Amélirations Sorts &amp; Troupes '!E28-'Amélirations Sorts &amp; Troupes '!E27</f>
        <v>0</v>
      </c>
      <c r="AB28" s="125">
        <f>'Amélirations Sorts &amp; Troupes '!F28-'Amélirations Sorts &amp; Troupes '!F27</f>
        <v>0</v>
      </c>
      <c r="AC28" s="122">
        <f>'Amélirations Sorts &amp; Troupes '!G28-'Amélirations Sorts &amp; Troupes '!G27</f>
        <v>0</v>
      </c>
      <c r="AD28" s="123">
        <f>'Amélirations Sorts &amp; Troupes '!H28-'Amélirations Sorts &amp; Troupes '!H27</f>
        <v>0</v>
      </c>
      <c r="AE28" s="124">
        <f>'Amélirations Sorts &amp; Troupes '!I28-'Amélirations Sorts &amp; Troupes '!I27</f>
        <v>0</v>
      </c>
      <c r="AF28" s="125">
        <f>'Amélirations Sorts &amp; Troupes '!J28-'Amélirations Sorts &amp; Troupes '!J27</f>
        <v>0</v>
      </c>
      <c r="AG28" s="122">
        <f>'Amélirations Sorts &amp; Troupes '!K28-'Amélirations Sorts &amp; Troupes '!K27</f>
        <v>0</v>
      </c>
      <c r="AH28" s="123">
        <f>'Amélirations Sorts &amp; Troupes '!L28-'Amélirations Sorts &amp; Troupes '!L27</f>
        <v>0</v>
      </c>
      <c r="AI28" s="124">
        <f>'Amélirations Sorts &amp; Troupes '!M28-'Amélirations Sorts &amp; Troupes '!M27</f>
        <v>0</v>
      </c>
      <c r="AJ28" s="125">
        <f>'Amélirations Sorts &amp; Troupes '!N28-'Amélirations Sorts &amp; Troupes '!N27</f>
        <v>0</v>
      </c>
      <c r="AK28" s="122">
        <f>'Amélirations Sorts &amp; Troupes '!O28-'Amélirations Sorts &amp; Troupes '!O27</f>
        <v>0</v>
      </c>
      <c r="AL28" s="123">
        <f>'Amélirations Sorts &amp; Troupes '!P28-'Amélirations Sorts &amp; Troupes '!P27</f>
        <v>0</v>
      </c>
      <c r="AM28" s="124">
        <f>'Amélirations Sorts &amp; Troupes '!Q28-'Amélirations Sorts &amp; Troupes '!Q27</f>
        <v>0</v>
      </c>
      <c r="AN28" s="125">
        <f>'Amélirations Sorts &amp; Troupes '!R28-'Amélirations Sorts &amp; Troupes '!R27</f>
        <v>0</v>
      </c>
      <c r="AO28" s="122">
        <f>'Amélirations Sorts &amp; Troupes '!S28-'Amélirations Sorts &amp; Troupes '!S27</f>
        <v>1</v>
      </c>
      <c r="AP28" s="123">
        <f>'Amélirations Sorts &amp; Troupes '!T28-'Amélirations Sorts &amp; Troupes '!T27</f>
        <v>0</v>
      </c>
      <c r="AQ28" s="126">
        <f>'Amélirations Sorts &amp; Troupes '!U28-'Amélirations Sorts &amp; Troupes '!U27</f>
        <v>1</v>
      </c>
    </row>
    <row r="30" spans="1:43" ht="12" thickBot="1" x14ac:dyDescent="0.25"/>
    <row r="31" spans="1:43" ht="15.75" thickBot="1" x14ac:dyDescent="0.25">
      <c r="A31" s="527" t="s">
        <v>144</v>
      </c>
      <c r="B31" s="521"/>
      <c r="C31" s="521"/>
      <c r="D31" s="521"/>
      <c r="E31" s="521"/>
      <c r="F31" s="521"/>
      <c r="G31" s="521"/>
      <c r="H31" s="521"/>
      <c r="I31" s="528"/>
      <c r="K31" s="508" t="s">
        <v>145</v>
      </c>
      <c r="L31" s="521"/>
      <c r="M31" s="521"/>
      <c r="N31" s="521"/>
      <c r="O31" s="521"/>
      <c r="P31" s="521"/>
      <c r="Q31" s="521"/>
      <c r="R31" s="521"/>
      <c r="S31" s="528"/>
    </row>
    <row r="32" spans="1:43" ht="23.25" thickBot="1" x14ac:dyDescent="0.25">
      <c r="A32" s="325" t="s">
        <v>0</v>
      </c>
      <c r="B32" s="17" t="s">
        <v>97</v>
      </c>
      <c r="C32" s="17" t="s">
        <v>1</v>
      </c>
      <c r="D32" s="17" t="s">
        <v>98</v>
      </c>
      <c r="E32" s="17" t="s">
        <v>5</v>
      </c>
      <c r="F32" s="17" t="s">
        <v>24</v>
      </c>
      <c r="G32" s="17" t="s">
        <v>6</v>
      </c>
      <c r="H32" s="17" t="s">
        <v>25</v>
      </c>
      <c r="I32" s="89" t="s">
        <v>7</v>
      </c>
      <c r="K32" s="325" t="s">
        <v>0</v>
      </c>
      <c r="L32" s="17" t="s">
        <v>97</v>
      </c>
      <c r="M32" s="17" t="s">
        <v>1</v>
      </c>
      <c r="N32" s="17" t="s">
        <v>98</v>
      </c>
      <c r="O32" s="17" t="s">
        <v>5</v>
      </c>
      <c r="P32" s="17" t="s">
        <v>24</v>
      </c>
      <c r="Q32" s="17" t="s">
        <v>6</v>
      </c>
      <c r="R32" s="17" t="s">
        <v>25</v>
      </c>
      <c r="S32" s="89" t="s">
        <v>7</v>
      </c>
    </row>
    <row r="33" spans="1:19" x14ac:dyDescent="0.2">
      <c r="A33" s="77">
        <v>0</v>
      </c>
      <c r="B33" s="327">
        <v>0</v>
      </c>
      <c r="C33" s="328">
        <v>0</v>
      </c>
      <c r="D33" s="334">
        <v>0</v>
      </c>
      <c r="E33" s="335">
        <v>0</v>
      </c>
      <c r="F33" s="327">
        <v>0</v>
      </c>
      <c r="G33" s="328">
        <v>0</v>
      </c>
      <c r="H33" s="334">
        <v>0</v>
      </c>
      <c r="I33" s="335">
        <v>0</v>
      </c>
      <c r="K33" s="77">
        <v>0</v>
      </c>
      <c r="L33" s="331">
        <f>'Amélirations Sorts &amp; Troupes '!B33</f>
        <v>0</v>
      </c>
      <c r="M33" s="332">
        <f>'Amélirations Sorts &amp; Troupes '!C33</f>
        <v>0</v>
      </c>
      <c r="N33" s="336">
        <f>'Amélirations Sorts &amp; Troupes '!D33</f>
        <v>0</v>
      </c>
      <c r="O33" s="337">
        <f>'Amélirations Sorts &amp; Troupes '!E33</f>
        <v>0</v>
      </c>
      <c r="P33" s="333">
        <f>'Amélirations Sorts &amp; Troupes '!F33</f>
        <v>0</v>
      </c>
      <c r="Q33" s="332">
        <f>'Amélirations Sorts &amp; Troupes '!G33</f>
        <v>0</v>
      </c>
      <c r="R33" s="336">
        <f>'Amélirations Sorts &amp; Troupes '!H33</f>
        <v>0</v>
      </c>
      <c r="S33" s="337">
        <f>'Amélirations Sorts &amp; Troupes '!I33</f>
        <v>0</v>
      </c>
    </row>
    <row r="34" spans="1:19" x14ac:dyDescent="0.2">
      <c r="A34" s="326">
        <v>1</v>
      </c>
      <c r="B34" s="11">
        <v>0</v>
      </c>
      <c r="C34" s="9">
        <v>0</v>
      </c>
      <c r="D34" s="10">
        <v>0</v>
      </c>
      <c r="E34" s="50">
        <v>0</v>
      </c>
      <c r="F34" s="11">
        <v>0</v>
      </c>
      <c r="G34" s="9">
        <v>0</v>
      </c>
      <c r="H34" s="10">
        <v>0</v>
      </c>
      <c r="I34" s="50">
        <v>0</v>
      </c>
      <c r="K34" s="326">
        <v>1</v>
      </c>
      <c r="L34" s="119">
        <f>'Amélirations Sorts &amp; Troupes '!B34-'Amélirations Sorts &amp; Troupes '!B33</f>
        <v>0</v>
      </c>
      <c r="M34" s="116">
        <f>'Amélirations Sorts &amp; Troupes '!C34-'Amélirations Sorts &amp; Troupes '!C33</f>
        <v>0</v>
      </c>
      <c r="N34" s="117">
        <f>'Amélirations Sorts &amp; Troupes '!D34-'Amélirations Sorts &amp; Troupes '!D33</f>
        <v>0</v>
      </c>
      <c r="O34" s="118">
        <f>'Amélirations Sorts &amp; Troupes '!E34-'Amélirations Sorts &amp; Troupes '!E33</f>
        <v>0</v>
      </c>
      <c r="P34" s="115">
        <f>'Amélirations Sorts &amp; Troupes '!F34-'Amélirations Sorts &amp; Troupes '!F33</f>
        <v>0</v>
      </c>
      <c r="Q34" s="116">
        <f>'Amélirations Sorts &amp; Troupes '!G34-'Amélirations Sorts &amp; Troupes '!G33</f>
        <v>0</v>
      </c>
      <c r="R34" s="117">
        <f>'Amélirations Sorts &amp; Troupes '!H34-'Amélirations Sorts &amp; Troupes '!H33</f>
        <v>0</v>
      </c>
      <c r="S34" s="118">
        <f>'Amélirations Sorts &amp; Troupes '!I34-'Amélirations Sorts &amp; Troupes '!I33</f>
        <v>0</v>
      </c>
    </row>
    <row r="35" spans="1:19" x14ac:dyDescent="0.2">
      <c r="A35" s="7">
        <v>2</v>
      </c>
      <c r="B35" s="2">
        <v>0</v>
      </c>
      <c r="C35" s="6">
        <v>0</v>
      </c>
      <c r="D35" s="4">
        <v>0</v>
      </c>
      <c r="E35" s="49">
        <v>0</v>
      </c>
      <c r="F35" s="2">
        <v>0</v>
      </c>
      <c r="G35" s="6">
        <v>0</v>
      </c>
      <c r="H35" s="4">
        <v>0</v>
      </c>
      <c r="I35" s="49">
        <v>0</v>
      </c>
      <c r="K35" s="7">
        <v>2</v>
      </c>
      <c r="L35" s="119">
        <f>'Amélirations Sorts &amp; Troupes '!B35-'Amélirations Sorts &amp; Troupes '!B34</f>
        <v>0</v>
      </c>
      <c r="M35" s="116">
        <f>'Amélirations Sorts &amp; Troupes '!C35-'Amélirations Sorts &amp; Troupes '!C34</f>
        <v>0</v>
      </c>
      <c r="N35" s="117">
        <f>'Amélirations Sorts &amp; Troupes '!D35-'Amélirations Sorts &amp; Troupes '!D34</f>
        <v>0</v>
      </c>
      <c r="O35" s="118">
        <f>'Amélirations Sorts &amp; Troupes '!E35-'Amélirations Sorts &amp; Troupes '!E34</f>
        <v>0</v>
      </c>
      <c r="P35" s="115">
        <f>'Amélirations Sorts &amp; Troupes '!F35-'Amélirations Sorts &amp; Troupes '!F34</f>
        <v>0</v>
      </c>
      <c r="Q35" s="116">
        <f>'Amélirations Sorts &amp; Troupes '!G35-'Amélirations Sorts &amp; Troupes '!G34</f>
        <v>0</v>
      </c>
      <c r="R35" s="117">
        <f>'Amélirations Sorts &amp; Troupes '!H35-'Amélirations Sorts &amp; Troupes '!H34</f>
        <v>0</v>
      </c>
      <c r="S35" s="118">
        <f>'Amélirations Sorts &amp; Troupes '!I35-'Amélirations Sorts &amp; Troupes '!I34</f>
        <v>0</v>
      </c>
    </row>
    <row r="36" spans="1:19" x14ac:dyDescent="0.2">
      <c r="A36" s="7">
        <v>3</v>
      </c>
      <c r="B36" s="1">
        <v>0</v>
      </c>
      <c r="C36" s="5">
        <v>0</v>
      </c>
      <c r="D36" s="3">
        <v>0</v>
      </c>
      <c r="E36" s="51">
        <v>0</v>
      </c>
      <c r="F36" s="1">
        <v>0</v>
      </c>
      <c r="G36" s="5">
        <v>0</v>
      </c>
      <c r="H36" s="3">
        <v>0</v>
      </c>
      <c r="I36" s="51">
        <v>0</v>
      </c>
      <c r="K36" s="7">
        <v>3</v>
      </c>
      <c r="L36" s="119">
        <f>'Amélirations Sorts &amp; Troupes '!B36-'Amélirations Sorts &amp; Troupes '!B35</f>
        <v>0</v>
      </c>
      <c r="M36" s="116">
        <f>'Amélirations Sorts &amp; Troupes '!C36-'Amélirations Sorts &amp; Troupes '!C35</f>
        <v>0</v>
      </c>
      <c r="N36" s="117">
        <f>'Amélirations Sorts &amp; Troupes '!D36-'Amélirations Sorts &amp; Troupes '!D35</f>
        <v>0</v>
      </c>
      <c r="O36" s="118">
        <f>'Amélirations Sorts &amp; Troupes '!E36-'Amélirations Sorts &amp; Troupes '!E35</f>
        <v>0</v>
      </c>
      <c r="P36" s="115">
        <f>'Amélirations Sorts &amp; Troupes '!F36-'Amélirations Sorts &amp; Troupes '!F35</f>
        <v>0</v>
      </c>
      <c r="Q36" s="116">
        <f>'Amélirations Sorts &amp; Troupes '!G36-'Amélirations Sorts &amp; Troupes '!G35</f>
        <v>0</v>
      </c>
      <c r="R36" s="117">
        <f>'Amélirations Sorts &amp; Troupes '!H36-'Amélirations Sorts &amp; Troupes '!H35</f>
        <v>0</v>
      </c>
      <c r="S36" s="118">
        <f>'Amélirations Sorts &amp; Troupes '!I36-'Amélirations Sorts &amp; Troupes '!I35</f>
        <v>0</v>
      </c>
    </row>
    <row r="37" spans="1:19" x14ac:dyDescent="0.2">
      <c r="A37" s="7">
        <v>4</v>
      </c>
      <c r="B37" s="2">
        <v>0</v>
      </c>
      <c r="C37" s="6">
        <v>0</v>
      </c>
      <c r="D37" s="4">
        <v>0</v>
      </c>
      <c r="E37" s="49">
        <v>0</v>
      </c>
      <c r="F37" s="2">
        <v>0</v>
      </c>
      <c r="G37" s="6">
        <v>0</v>
      </c>
      <c r="H37" s="4">
        <v>0</v>
      </c>
      <c r="I37" s="49">
        <v>0</v>
      </c>
      <c r="K37" s="7">
        <v>4</v>
      </c>
      <c r="L37" s="119">
        <f>'Amélirations Sorts &amp; Troupes '!B37-'Amélirations Sorts &amp; Troupes '!B36</f>
        <v>0</v>
      </c>
      <c r="M37" s="116">
        <f>'Amélirations Sorts &amp; Troupes '!C37-'Amélirations Sorts &amp; Troupes '!C36</f>
        <v>0</v>
      </c>
      <c r="N37" s="117">
        <f>'Amélirations Sorts &amp; Troupes '!D37-'Amélirations Sorts &amp; Troupes '!D36</f>
        <v>0</v>
      </c>
      <c r="O37" s="118">
        <f>'Amélirations Sorts &amp; Troupes '!E37-'Amélirations Sorts &amp; Troupes '!E36</f>
        <v>0</v>
      </c>
      <c r="P37" s="115">
        <f>'Amélirations Sorts &amp; Troupes '!F37-'Amélirations Sorts &amp; Troupes '!F36</f>
        <v>0</v>
      </c>
      <c r="Q37" s="116">
        <f>'Amélirations Sorts &amp; Troupes '!G37-'Amélirations Sorts &amp; Troupes '!G36</f>
        <v>0</v>
      </c>
      <c r="R37" s="117">
        <f>'Amélirations Sorts &amp; Troupes '!H37-'Amélirations Sorts &amp; Troupes '!H36</f>
        <v>0</v>
      </c>
      <c r="S37" s="118">
        <f>'Amélirations Sorts &amp; Troupes '!I37-'Amélirations Sorts &amp; Troupes '!I36</f>
        <v>0</v>
      </c>
    </row>
    <row r="38" spans="1:19" x14ac:dyDescent="0.2">
      <c r="A38" s="7">
        <v>5</v>
      </c>
      <c r="B38" s="1">
        <v>0</v>
      </c>
      <c r="C38" s="5">
        <v>0</v>
      </c>
      <c r="D38" s="3">
        <v>0</v>
      </c>
      <c r="E38" s="51">
        <v>0</v>
      </c>
      <c r="F38" s="1">
        <v>0</v>
      </c>
      <c r="G38" s="5">
        <v>0</v>
      </c>
      <c r="H38" s="3">
        <v>0</v>
      </c>
      <c r="I38" s="51">
        <v>0</v>
      </c>
      <c r="K38" s="7">
        <v>5</v>
      </c>
      <c r="L38" s="119">
        <f>'Amélirations Sorts &amp; Troupes '!B38-'Amélirations Sorts &amp; Troupes '!B37</f>
        <v>0</v>
      </c>
      <c r="M38" s="116">
        <f>'Amélirations Sorts &amp; Troupes '!C38-'Amélirations Sorts &amp; Troupes '!C37</f>
        <v>0</v>
      </c>
      <c r="N38" s="117">
        <f>'Amélirations Sorts &amp; Troupes '!D38-'Amélirations Sorts &amp; Troupes '!D37</f>
        <v>0</v>
      </c>
      <c r="O38" s="118">
        <f>'Amélirations Sorts &amp; Troupes '!E38-'Amélirations Sorts &amp; Troupes '!E37</f>
        <v>0</v>
      </c>
      <c r="P38" s="115">
        <f>'Amélirations Sorts &amp; Troupes '!F38-'Amélirations Sorts &amp; Troupes '!F37</f>
        <v>0</v>
      </c>
      <c r="Q38" s="116">
        <f>'Amélirations Sorts &amp; Troupes '!G38-'Amélirations Sorts &amp; Troupes '!G37</f>
        <v>0</v>
      </c>
      <c r="R38" s="117">
        <f>'Amélirations Sorts &amp; Troupes '!H38-'Amélirations Sorts &amp; Troupes '!H37</f>
        <v>0</v>
      </c>
      <c r="S38" s="118">
        <f>'Amélirations Sorts &amp; Troupes '!I38-'Amélirations Sorts &amp; Troupes '!I37</f>
        <v>0</v>
      </c>
    </row>
    <row r="39" spans="1:19" x14ac:dyDescent="0.2">
      <c r="A39" s="7">
        <v>6</v>
      </c>
      <c r="B39" s="2">
        <v>0</v>
      </c>
      <c r="C39" s="6">
        <v>0</v>
      </c>
      <c r="D39" s="4">
        <v>0</v>
      </c>
      <c r="E39" s="49">
        <v>0</v>
      </c>
      <c r="F39" s="2">
        <v>0</v>
      </c>
      <c r="G39" s="6">
        <v>0</v>
      </c>
      <c r="H39" s="4">
        <v>0</v>
      </c>
      <c r="I39" s="49">
        <v>0</v>
      </c>
      <c r="K39" s="7">
        <v>6</v>
      </c>
      <c r="L39" s="119">
        <f>'Amélirations Sorts &amp; Troupes '!B39-'Amélirations Sorts &amp; Troupes '!B38</f>
        <v>0</v>
      </c>
      <c r="M39" s="116">
        <f>'Amélirations Sorts &amp; Troupes '!C39-'Amélirations Sorts &amp; Troupes '!C38</f>
        <v>0</v>
      </c>
      <c r="N39" s="117">
        <f>'Amélirations Sorts &amp; Troupes '!D39-'Amélirations Sorts &amp; Troupes '!D38</f>
        <v>0</v>
      </c>
      <c r="O39" s="118">
        <f>'Amélirations Sorts &amp; Troupes '!E39-'Amélirations Sorts &amp; Troupes '!E38</f>
        <v>0</v>
      </c>
      <c r="P39" s="115">
        <f>'Amélirations Sorts &amp; Troupes '!F39-'Amélirations Sorts &amp; Troupes '!F38</f>
        <v>0</v>
      </c>
      <c r="Q39" s="116">
        <f>'Amélirations Sorts &amp; Troupes '!G39-'Amélirations Sorts &amp; Troupes '!G38</f>
        <v>0</v>
      </c>
      <c r="R39" s="117">
        <f>'Amélirations Sorts &amp; Troupes '!H39-'Amélirations Sorts &amp; Troupes '!H38</f>
        <v>0</v>
      </c>
      <c r="S39" s="118">
        <f>'Amélirations Sorts &amp; Troupes '!I39-'Amélirations Sorts &amp; Troupes '!I38</f>
        <v>0</v>
      </c>
    </row>
    <row r="40" spans="1:19" x14ac:dyDescent="0.2">
      <c r="A40" s="7">
        <v>7</v>
      </c>
      <c r="B40" s="1">
        <v>1</v>
      </c>
      <c r="C40" s="5">
        <v>2</v>
      </c>
      <c r="D40" s="3">
        <v>1</v>
      </c>
      <c r="E40" s="51">
        <v>2</v>
      </c>
      <c r="F40" s="1">
        <v>0</v>
      </c>
      <c r="G40" s="5">
        <v>0</v>
      </c>
      <c r="H40" s="3">
        <v>0</v>
      </c>
      <c r="I40" s="51">
        <v>0</v>
      </c>
      <c r="K40" s="7">
        <v>7</v>
      </c>
      <c r="L40" s="119">
        <f>'Amélirations Sorts &amp; Troupes '!B40-'Amélirations Sorts &amp; Troupes '!B39</f>
        <v>1</v>
      </c>
      <c r="M40" s="116">
        <f>'Amélirations Sorts &amp; Troupes '!C40-'Amélirations Sorts &amp; Troupes '!C39</f>
        <v>2</v>
      </c>
      <c r="N40" s="117">
        <f>'Amélirations Sorts &amp; Troupes '!D40-'Amélirations Sorts &amp; Troupes '!D39</f>
        <v>1</v>
      </c>
      <c r="O40" s="118">
        <f>'Amélirations Sorts &amp; Troupes '!E40-'Amélirations Sorts &amp; Troupes '!E39</f>
        <v>2</v>
      </c>
      <c r="P40" s="115">
        <f>'Amélirations Sorts &amp; Troupes '!F40-'Amélirations Sorts &amp; Troupes '!F39</f>
        <v>0</v>
      </c>
      <c r="Q40" s="116">
        <f>'Amélirations Sorts &amp; Troupes '!G40-'Amélirations Sorts &amp; Troupes '!G39</f>
        <v>0</v>
      </c>
      <c r="R40" s="117">
        <f>'Amélirations Sorts &amp; Troupes '!H40-'Amélirations Sorts &amp; Troupes '!H39</f>
        <v>0</v>
      </c>
      <c r="S40" s="118">
        <f>'Amélirations Sorts &amp; Troupes '!I40-'Amélirations Sorts &amp; Troupes '!I39</f>
        <v>0</v>
      </c>
    </row>
    <row r="41" spans="1:19" x14ac:dyDescent="0.2">
      <c r="A41" s="7">
        <v>8</v>
      </c>
      <c r="B41" s="2">
        <v>1</v>
      </c>
      <c r="C41" s="6">
        <v>4</v>
      </c>
      <c r="D41" s="4">
        <v>1</v>
      </c>
      <c r="E41" s="49">
        <v>4</v>
      </c>
      <c r="F41" s="2">
        <v>1</v>
      </c>
      <c r="G41" s="6">
        <v>2</v>
      </c>
      <c r="H41" s="4">
        <v>1</v>
      </c>
      <c r="I41" s="49">
        <v>2</v>
      </c>
      <c r="K41" s="7">
        <v>8</v>
      </c>
      <c r="L41" s="119">
        <f>'Amélirations Sorts &amp; Troupes '!B41-'Amélirations Sorts &amp; Troupes '!B40</f>
        <v>0</v>
      </c>
      <c r="M41" s="116">
        <f>'Amélirations Sorts &amp; Troupes '!C41-'Amélirations Sorts &amp; Troupes '!C40</f>
        <v>2</v>
      </c>
      <c r="N41" s="117">
        <f>'Amélirations Sorts &amp; Troupes '!D41-'Amélirations Sorts &amp; Troupes '!D40</f>
        <v>0</v>
      </c>
      <c r="O41" s="118">
        <f>'Amélirations Sorts &amp; Troupes '!E41-'Amélirations Sorts &amp; Troupes '!E40</f>
        <v>2</v>
      </c>
      <c r="P41" s="115">
        <f>'Amélirations Sorts &amp; Troupes '!F41-'Amélirations Sorts &amp; Troupes '!F40</f>
        <v>1</v>
      </c>
      <c r="Q41" s="116">
        <f>'Amélirations Sorts &amp; Troupes '!G41-'Amélirations Sorts &amp; Troupes '!G40</f>
        <v>2</v>
      </c>
      <c r="R41" s="117">
        <f>'Amélirations Sorts &amp; Troupes '!H41-'Amélirations Sorts &amp; Troupes '!H40</f>
        <v>1</v>
      </c>
      <c r="S41" s="118">
        <f>'Amélirations Sorts &amp; Troupes '!I41-'Amélirations Sorts &amp; Troupes '!I40</f>
        <v>2</v>
      </c>
    </row>
    <row r="42" spans="1:19" x14ac:dyDescent="0.2">
      <c r="A42" s="7">
        <v>9</v>
      </c>
      <c r="B42" s="1">
        <v>1</v>
      </c>
      <c r="C42" s="5">
        <v>5</v>
      </c>
      <c r="D42" s="3">
        <v>1</v>
      </c>
      <c r="E42" s="51">
        <v>5</v>
      </c>
      <c r="F42" s="1">
        <v>1</v>
      </c>
      <c r="G42" s="5">
        <v>4</v>
      </c>
      <c r="H42" s="3">
        <v>1</v>
      </c>
      <c r="I42" s="51">
        <v>4</v>
      </c>
      <c r="K42" s="7">
        <v>9</v>
      </c>
      <c r="L42" s="119">
        <f>'Amélirations Sorts &amp; Troupes '!B42-'Amélirations Sorts &amp; Troupes '!B41</f>
        <v>0</v>
      </c>
      <c r="M42" s="116">
        <f>'Amélirations Sorts &amp; Troupes '!C42-'Amélirations Sorts &amp; Troupes '!C41</f>
        <v>1</v>
      </c>
      <c r="N42" s="117">
        <f>'Amélirations Sorts &amp; Troupes '!D42-'Amélirations Sorts &amp; Troupes '!D41</f>
        <v>0</v>
      </c>
      <c r="O42" s="118">
        <f>'Amélirations Sorts &amp; Troupes '!E42-'Amélirations Sorts &amp; Troupes '!E41</f>
        <v>1</v>
      </c>
      <c r="P42" s="115">
        <f>'Amélirations Sorts &amp; Troupes '!F42-'Amélirations Sorts &amp; Troupes '!F41</f>
        <v>0</v>
      </c>
      <c r="Q42" s="116">
        <f>'Amélirations Sorts &amp; Troupes '!G42-'Amélirations Sorts &amp; Troupes '!G41</f>
        <v>2</v>
      </c>
      <c r="R42" s="117">
        <f>'Amélirations Sorts &amp; Troupes '!H42-'Amélirations Sorts &amp; Troupes '!H41</f>
        <v>0</v>
      </c>
      <c r="S42" s="118">
        <f>'Amélirations Sorts &amp; Troupes '!I42-'Amélirations Sorts &amp; Troupes '!I41</f>
        <v>2</v>
      </c>
    </row>
    <row r="43" spans="1:19" ht="12" thickBot="1" x14ac:dyDescent="0.25">
      <c r="A43" s="8">
        <v>10</v>
      </c>
      <c r="B43" s="22">
        <v>1</v>
      </c>
      <c r="C43" s="20">
        <v>5</v>
      </c>
      <c r="D43" s="21">
        <v>1</v>
      </c>
      <c r="E43" s="52">
        <v>5</v>
      </c>
      <c r="F43" s="22">
        <v>1</v>
      </c>
      <c r="G43" s="20">
        <v>4</v>
      </c>
      <c r="H43" s="21">
        <v>1</v>
      </c>
      <c r="I43" s="52">
        <v>5</v>
      </c>
      <c r="K43" s="8">
        <v>10</v>
      </c>
      <c r="L43" s="121">
        <f>'Amélirations Sorts &amp; Troupes '!B43-'Amélirations Sorts &amp; Troupes '!B42</f>
        <v>0</v>
      </c>
      <c r="M43" s="122">
        <f>'Amélirations Sorts &amp; Troupes '!C43-'Amélirations Sorts &amp; Troupes '!C42</f>
        <v>0</v>
      </c>
      <c r="N43" s="123">
        <f>'Amélirations Sorts &amp; Troupes '!D43-'Amélirations Sorts &amp; Troupes '!D42</f>
        <v>0</v>
      </c>
      <c r="O43" s="124">
        <f>'Amélirations Sorts &amp; Troupes '!E43-'Amélirations Sorts &amp; Troupes '!E42</f>
        <v>0</v>
      </c>
      <c r="P43" s="125">
        <f>'Amélirations Sorts &amp; Troupes '!F43-'Amélirations Sorts &amp; Troupes '!F42</f>
        <v>0</v>
      </c>
      <c r="Q43" s="122">
        <f>'Amélirations Sorts &amp; Troupes '!G43-'Amélirations Sorts &amp; Troupes '!G42</f>
        <v>0</v>
      </c>
      <c r="R43" s="123">
        <f>'Amélirations Sorts &amp; Troupes '!H43-'Amélirations Sorts &amp; Troupes '!H42</f>
        <v>0</v>
      </c>
      <c r="S43" s="124">
        <f>'Amélirations Sorts &amp; Troupes '!I43-'Amélirations Sorts &amp; Troupes '!I42</f>
        <v>1</v>
      </c>
    </row>
  </sheetData>
  <mergeCells count="6">
    <mergeCell ref="M1:W1"/>
    <mergeCell ref="A1:K1"/>
    <mergeCell ref="A16:U16"/>
    <mergeCell ref="W16:AQ16"/>
    <mergeCell ref="A31:I31"/>
    <mergeCell ref="K31:S31"/>
  </mergeCells>
  <pageMargins left="0.7" right="0.7" top="0.75" bottom="0.75" header="0.3" footer="0.3"/>
  <pageSetup paperSize="9" orientation="portrait" r:id="rId1"/>
  <ignoredErrors>
    <ignoredError sqref="N3:U3 X18:AQ18 L33:S33" calculatedColumn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0000"/>
  </sheetPr>
  <dimension ref="A1:K13"/>
  <sheetViews>
    <sheetView workbookViewId="0">
      <selection activeCell="G53" sqref="G53"/>
    </sheetView>
  </sheetViews>
  <sheetFormatPr baseColWidth="10" defaultRowHeight="11.25" x14ac:dyDescent="0.25"/>
  <cols>
    <col min="1" max="2" width="8.7109375" style="339" customWidth="1"/>
    <col min="3" max="3" width="4.7109375" style="339" customWidth="1"/>
    <col min="4" max="4" width="8.7109375" style="339" customWidth="1"/>
    <col min="5" max="5" width="4.7109375" style="339" customWidth="1"/>
    <col min="6" max="8" width="8.7109375" style="339" customWidth="1"/>
    <col min="9" max="9" width="4.7109375" style="339" customWidth="1"/>
    <col min="10" max="10" width="8.7109375" style="339" customWidth="1"/>
    <col min="11" max="11" width="4.7109375" style="339" customWidth="1"/>
    <col min="12" max="16384" width="11.42578125" style="339"/>
  </cols>
  <sheetData>
    <row r="1" spans="1:11" ht="19.5" thickBot="1" x14ac:dyDescent="0.3">
      <c r="A1" s="508" t="s">
        <v>143</v>
      </c>
      <c r="B1" s="524"/>
      <c r="C1" s="524"/>
      <c r="D1" s="524"/>
      <c r="E1" s="529"/>
      <c r="G1" s="530" t="s">
        <v>136</v>
      </c>
      <c r="H1" s="531"/>
      <c r="I1" s="531"/>
      <c r="J1" s="531"/>
      <c r="K1" s="532"/>
    </row>
    <row r="2" spans="1:11" ht="23.25" thickBot="1" x14ac:dyDescent="0.3">
      <c r="A2" s="325" t="s">
        <v>0</v>
      </c>
      <c r="B2" s="78" t="s">
        <v>137</v>
      </c>
      <c r="C2" s="78" t="s">
        <v>1</v>
      </c>
      <c r="D2" s="78" t="s">
        <v>99</v>
      </c>
      <c r="E2" s="40" t="s">
        <v>5</v>
      </c>
      <c r="G2" s="325" t="s">
        <v>0</v>
      </c>
      <c r="H2" s="78" t="s">
        <v>137</v>
      </c>
      <c r="I2" s="78" t="s">
        <v>1</v>
      </c>
      <c r="J2" s="78" t="s">
        <v>99</v>
      </c>
      <c r="K2" s="40" t="s">
        <v>5</v>
      </c>
    </row>
    <row r="3" spans="1:11" x14ac:dyDescent="0.25">
      <c r="A3" s="77">
        <v>0</v>
      </c>
      <c r="B3" s="327">
        <v>0</v>
      </c>
      <c r="C3" s="328">
        <v>0</v>
      </c>
      <c r="D3" s="334">
        <v>0</v>
      </c>
      <c r="E3" s="335">
        <v>0</v>
      </c>
      <c r="G3" s="77">
        <v>0</v>
      </c>
      <c r="H3" s="340">
        <f>B3</f>
        <v>0</v>
      </c>
      <c r="I3" s="332">
        <f>C3</f>
        <v>0</v>
      </c>
      <c r="J3" s="341">
        <f>D3</f>
        <v>0</v>
      </c>
      <c r="K3" s="342">
        <f>E3</f>
        <v>0</v>
      </c>
    </row>
    <row r="4" spans="1:11" x14ac:dyDescent="0.25">
      <c r="A4" s="326">
        <v>1</v>
      </c>
      <c r="B4" s="11">
        <v>0</v>
      </c>
      <c r="C4" s="9">
        <v>0</v>
      </c>
      <c r="D4" s="10">
        <v>0</v>
      </c>
      <c r="E4" s="50">
        <v>0</v>
      </c>
      <c r="G4" s="326">
        <v>1</v>
      </c>
      <c r="H4" s="45">
        <f t="shared" ref="H4:H13" si="0">B4-B3</f>
        <v>0</v>
      </c>
      <c r="I4" s="46">
        <f t="shared" ref="I4:I13" si="1">C4-C3</f>
        <v>0</v>
      </c>
      <c r="J4" s="47">
        <f t="shared" ref="J4:J13" si="2">D4-D3</f>
        <v>0</v>
      </c>
      <c r="K4" s="110">
        <f t="shared" ref="K4:K13" si="3">E4-E3</f>
        <v>0</v>
      </c>
    </row>
    <row r="5" spans="1:11" x14ac:dyDescent="0.25">
      <c r="A5" s="7">
        <v>2</v>
      </c>
      <c r="B5" s="2">
        <v>0</v>
      </c>
      <c r="C5" s="6">
        <v>0</v>
      </c>
      <c r="D5" s="4">
        <v>0</v>
      </c>
      <c r="E5" s="49">
        <v>0</v>
      </c>
      <c r="G5" s="7">
        <v>2</v>
      </c>
      <c r="H5" s="45">
        <f t="shared" si="0"/>
        <v>0</v>
      </c>
      <c r="I5" s="46">
        <f t="shared" si="1"/>
        <v>0</v>
      </c>
      <c r="J5" s="47">
        <f t="shared" si="2"/>
        <v>0</v>
      </c>
      <c r="K5" s="110">
        <f t="shared" si="3"/>
        <v>0</v>
      </c>
    </row>
    <row r="6" spans="1:11" x14ac:dyDescent="0.25">
      <c r="A6" s="7">
        <v>3</v>
      </c>
      <c r="B6" s="1">
        <v>0</v>
      </c>
      <c r="C6" s="5">
        <v>0</v>
      </c>
      <c r="D6" s="3">
        <v>0</v>
      </c>
      <c r="E6" s="51">
        <v>0</v>
      </c>
      <c r="G6" s="7">
        <v>3</v>
      </c>
      <c r="H6" s="45">
        <f t="shared" si="0"/>
        <v>0</v>
      </c>
      <c r="I6" s="46">
        <f t="shared" si="1"/>
        <v>0</v>
      </c>
      <c r="J6" s="47">
        <f t="shared" si="2"/>
        <v>0</v>
      </c>
      <c r="K6" s="110">
        <f t="shared" si="3"/>
        <v>0</v>
      </c>
    </row>
    <row r="7" spans="1:11" x14ac:dyDescent="0.25">
      <c r="A7" s="7">
        <v>4</v>
      </c>
      <c r="B7" s="2">
        <v>0</v>
      </c>
      <c r="C7" s="6">
        <v>0</v>
      </c>
      <c r="D7" s="4">
        <v>0</v>
      </c>
      <c r="E7" s="49">
        <v>0</v>
      </c>
      <c r="G7" s="7">
        <v>4</v>
      </c>
      <c r="H7" s="45">
        <f t="shared" si="0"/>
        <v>0</v>
      </c>
      <c r="I7" s="46">
        <f t="shared" si="1"/>
        <v>0</v>
      </c>
      <c r="J7" s="47">
        <f t="shared" si="2"/>
        <v>0</v>
      </c>
      <c r="K7" s="110">
        <f t="shared" si="3"/>
        <v>0</v>
      </c>
    </row>
    <row r="8" spans="1:11" x14ac:dyDescent="0.25">
      <c r="A8" s="7">
        <v>5</v>
      </c>
      <c r="B8" s="1">
        <v>0</v>
      </c>
      <c r="C8" s="5">
        <v>0</v>
      </c>
      <c r="D8" s="3">
        <v>0</v>
      </c>
      <c r="E8" s="51">
        <v>0</v>
      </c>
      <c r="G8" s="7">
        <v>5</v>
      </c>
      <c r="H8" s="45">
        <f t="shared" si="0"/>
        <v>0</v>
      </c>
      <c r="I8" s="46">
        <f t="shared" si="1"/>
        <v>0</v>
      </c>
      <c r="J8" s="47">
        <f t="shared" si="2"/>
        <v>0</v>
      </c>
      <c r="K8" s="110">
        <f t="shared" si="3"/>
        <v>0</v>
      </c>
    </row>
    <row r="9" spans="1:11" x14ac:dyDescent="0.25">
      <c r="A9" s="7">
        <v>6</v>
      </c>
      <c r="B9" s="2">
        <v>0</v>
      </c>
      <c r="C9" s="6">
        <v>0</v>
      </c>
      <c r="D9" s="4">
        <v>0</v>
      </c>
      <c r="E9" s="49">
        <v>0</v>
      </c>
      <c r="G9" s="7">
        <v>6</v>
      </c>
      <c r="H9" s="45">
        <f t="shared" si="0"/>
        <v>0</v>
      </c>
      <c r="I9" s="46">
        <f t="shared" si="1"/>
        <v>0</v>
      </c>
      <c r="J9" s="47">
        <f t="shared" si="2"/>
        <v>0</v>
      </c>
      <c r="K9" s="110">
        <f t="shared" si="3"/>
        <v>0</v>
      </c>
    </row>
    <row r="10" spans="1:11" x14ac:dyDescent="0.25">
      <c r="A10" s="7">
        <v>7</v>
      </c>
      <c r="B10" s="1">
        <v>1</v>
      </c>
      <c r="C10" s="5">
        <v>5</v>
      </c>
      <c r="D10" s="3">
        <v>0</v>
      </c>
      <c r="E10" s="51">
        <v>0</v>
      </c>
      <c r="G10" s="7">
        <v>7</v>
      </c>
      <c r="H10" s="45">
        <f t="shared" si="0"/>
        <v>1</v>
      </c>
      <c r="I10" s="46">
        <f t="shared" si="1"/>
        <v>5</v>
      </c>
      <c r="J10" s="47">
        <f t="shared" si="2"/>
        <v>0</v>
      </c>
      <c r="K10" s="110">
        <f t="shared" si="3"/>
        <v>0</v>
      </c>
    </row>
    <row r="11" spans="1:11" x14ac:dyDescent="0.25">
      <c r="A11" s="7">
        <v>8</v>
      </c>
      <c r="B11" s="2">
        <v>1</v>
      </c>
      <c r="C11" s="6">
        <v>10</v>
      </c>
      <c r="D11" s="4">
        <v>0</v>
      </c>
      <c r="E11" s="49">
        <v>0</v>
      </c>
      <c r="G11" s="7">
        <v>8</v>
      </c>
      <c r="H11" s="45">
        <f t="shared" si="0"/>
        <v>0</v>
      </c>
      <c r="I11" s="46">
        <f t="shared" si="1"/>
        <v>5</v>
      </c>
      <c r="J11" s="47">
        <f t="shared" si="2"/>
        <v>0</v>
      </c>
      <c r="K11" s="110">
        <f t="shared" si="3"/>
        <v>0</v>
      </c>
    </row>
    <row r="12" spans="1:11" x14ac:dyDescent="0.25">
      <c r="A12" s="7">
        <v>9</v>
      </c>
      <c r="B12" s="1">
        <v>1</v>
      </c>
      <c r="C12" s="5">
        <v>30</v>
      </c>
      <c r="D12" s="3">
        <v>1</v>
      </c>
      <c r="E12" s="51">
        <v>30</v>
      </c>
      <c r="G12" s="7">
        <v>9</v>
      </c>
      <c r="H12" s="45">
        <f t="shared" si="0"/>
        <v>0</v>
      </c>
      <c r="I12" s="46">
        <f t="shared" si="1"/>
        <v>20</v>
      </c>
      <c r="J12" s="47">
        <f t="shared" si="2"/>
        <v>1</v>
      </c>
      <c r="K12" s="110">
        <f t="shared" si="3"/>
        <v>30</v>
      </c>
    </row>
    <row r="13" spans="1:11" ht="12" thickBot="1" x14ac:dyDescent="0.3">
      <c r="A13" s="8">
        <v>10</v>
      </c>
      <c r="B13" s="22">
        <v>1</v>
      </c>
      <c r="C13" s="20">
        <v>40</v>
      </c>
      <c r="D13" s="21">
        <v>1</v>
      </c>
      <c r="E13" s="52">
        <v>40</v>
      </c>
      <c r="G13" s="8">
        <v>10</v>
      </c>
      <c r="H13" s="111">
        <f t="shared" si="0"/>
        <v>0</v>
      </c>
      <c r="I13" s="112">
        <f t="shared" si="1"/>
        <v>10</v>
      </c>
      <c r="J13" s="113">
        <f t="shared" si="2"/>
        <v>0</v>
      </c>
      <c r="K13" s="114">
        <f t="shared" si="3"/>
        <v>10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ignoredErrors>
    <ignoredError sqref="H3:K3" calculatedColumn="1"/>
  </ignoredError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0000"/>
  </sheetPr>
  <dimension ref="A1:AK146"/>
  <sheetViews>
    <sheetView zoomScaleNormal="100" workbookViewId="0">
      <selection activeCell="G47" sqref="G47"/>
    </sheetView>
  </sheetViews>
  <sheetFormatPr baseColWidth="10" defaultRowHeight="11.25" x14ac:dyDescent="0.2"/>
  <cols>
    <col min="1" max="1" width="4.7109375" style="324" customWidth="1"/>
    <col min="2" max="2" width="8.7109375" style="324" customWidth="1"/>
    <col min="3" max="3" width="5.7109375" style="324" customWidth="1"/>
    <col min="4" max="4" width="4.7109375" style="324" customWidth="1"/>
    <col min="5" max="5" width="8.7109375" style="324" customWidth="1"/>
    <col min="6" max="6" width="5.7109375" style="324" customWidth="1"/>
    <col min="7" max="7" width="4.7109375" style="324" customWidth="1"/>
    <col min="8" max="8" width="8.7109375" style="324" customWidth="1"/>
    <col min="9" max="9" width="5.7109375" style="324" customWidth="1"/>
    <col min="10" max="10" width="4.7109375" style="324" customWidth="1"/>
    <col min="11" max="11" width="8.7109375" style="324" customWidth="1"/>
    <col min="12" max="12" width="5.7109375" style="324" customWidth="1"/>
    <col min="13" max="13" width="4.7109375" style="324" customWidth="1"/>
    <col min="14" max="14" width="8.7109375" style="324" customWidth="1"/>
    <col min="15" max="15" width="5.7109375" style="324" customWidth="1"/>
    <col min="16" max="16" width="4.7109375" style="324" customWidth="1"/>
    <col min="17" max="17" width="8.7109375" style="324" customWidth="1"/>
    <col min="18" max="18" width="5.7109375" style="324" customWidth="1"/>
    <col min="19" max="19" width="4.7109375" style="324" customWidth="1"/>
    <col min="20" max="20" width="8.7109375" style="324" customWidth="1"/>
    <col min="21" max="21" width="5.7109375" style="324" customWidth="1"/>
    <col min="22" max="22" width="4.7109375" style="324" customWidth="1"/>
    <col min="23" max="23" width="8.7109375" style="324" customWidth="1"/>
    <col min="24" max="24" width="5.7109375" style="324" customWidth="1"/>
    <col min="25" max="25" width="4.7109375" style="324" customWidth="1"/>
    <col min="26" max="26" width="8.7109375" style="324" customWidth="1"/>
    <col min="27" max="27" width="5.7109375" style="324" customWidth="1"/>
    <col min="28" max="28" width="4.7109375" style="324" customWidth="1"/>
    <col min="29" max="29" width="8.7109375" style="324" customWidth="1"/>
    <col min="30" max="30" width="5.7109375" style="324" customWidth="1"/>
    <col min="31" max="31" width="4.7109375" style="324" customWidth="1"/>
    <col min="32" max="32" width="8.7109375" style="324" customWidth="1"/>
    <col min="33" max="33" width="5.7109375" style="324" customWidth="1"/>
    <col min="34" max="34" width="4.7109375" style="324" customWidth="1"/>
    <col min="35" max="35" width="8.7109375" style="324" customWidth="1"/>
    <col min="36" max="36" width="5.7109375" style="324" customWidth="1"/>
    <col min="37" max="37" width="4.7109375" style="324" customWidth="1"/>
    <col min="38" max="38" width="8.7109375" style="324" customWidth="1"/>
    <col min="39" max="39" width="5.7109375" style="324" customWidth="1"/>
    <col min="40" max="40" width="4.7109375" style="324" customWidth="1"/>
    <col min="41" max="41" width="8.7109375" style="324" customWidth="1"/>
    <col min="42" max="42" width="5.7109375" style="324" customWidth="1"/>
    <col min="43" max="16384" width="11.42578125" style="324"/>
  </cols>
  <sheetData>
    <row r="1" spans="1:18" ht="16.5" thickBot="1" x14ac:dyDescent="0.35">
      <c r="A1" s="533" t="s">
        <v>141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3"/>
    </row>
    <row r="2" spans="1:18" ht="15.75" thickBot="1" x14ac:dyDescent="0.3">
      <c r="A2" s="537" t="s">
        <v>77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9"/>
      <c r="M2" s="534" t="s">
        <v>76</v>
      </c>
      <c r="N2" s="535"/>
      <c r="O2" s="535"/>
      <c r="P2" s="535"/>
      <c r="Q2" s="535"/>
      <c r="R2" s="536"/>
    </row>
    <row r="3" spans="1:18" ht="12" thickBot="1" x14ac:dyDescent="0.25">
      <c r="A3" s="540" t="s">
        <v>105</v>
      </c>
      <c r="B3" s="541"/>
      <c r="C3" s="542"/>
      <c r="D3" s="540" t="s">
        <v>131</v>
      </c>
      <c r="E3" s="556"/>
      <c r="F3" s="557"/>
      <c r="G3" s="540" t="s">
        <v>108</v>
      </c>
      <c r="H3" s="556"/>
      <c r="I3" s="557"/>
      <c r="J3" s="540" t="s">
        <v>132</v>
      </c>
      <c r="K3" s="556"/>
      <c r="L3" s="557"/>
      <c r="M3" s="543" t="s">
        <v>106</v>
      </c>
      <c r="N3" s="544"/>
      <c r="O3" s="545"/>
      <c r="P3" s="543" t="s">
        <v>109</v>
      </c>
      <c r="Q3" s="544"/>
      <c r="R3" s="545"/>
    </row>
    <row r="4" spans="1:18" ht="12" thickBot="1" x14ac:dyDescent="0.25">
      <c r="A4" s="26" t="s">
        <v>2</v>
      </c>
      <c r="B4" s="27" t="s">
        <v>133</v>
      </c>
      <c r="C4" s="28" t="s">
        <v>4</v>
      </c>
      <c r="D4" s="26" t="s">
        <v>2</v>
      </c>
      <c r="E4" s="27" t="s">
        <v>133</v>
      </c>
      <c r="F4" s="28" t="s">
        <v>4</v>
      </c>
      <c r="G4" s="26" t="s">
        <v>2</v>
      </c>
      <c r="H4" s="27" t="s">
        <v>133</v>
      </c>
      <c r="I4" s="28" t="s">
        <v>4</v>
      </c>
      <c r="J4" s="29" t="s">
        <v>2</v>
      </c>
      <c r="K4" s="30" t="s">
        <v>133</v>
      </c>
      <c r="L4" s="31" t="s">
        <v>4</v>
      </c>
      <c r="M4" s="26" t="s">
        <v>2</v>
      </c>
      <c r="N4" s="27" t="s">
        <v>133</v>
      </c>
      <c r="O4" s="28" t="s">
        <v>4</v>
      </c>
      <c r="P4" s="26" t="s">
        <v>2</v>
      </c>
      <c r="Q4" s="27" t="s">
        <v>133</v>
      </c>
      <c r="R4" s="28" t="s">
        <v>4</v>
      </c>
    </row>
    <row r="5" spans="1:18" x14ac:dyDescent="0.2">
      <c r="A5" s="32">
        <v>1</v>
      </c>
      <c r="B5" s="99">
        <v>150</v>
      </c>
      <c r="C5" s="80">
        <f>1/60</f>
        <v>1.6666666666666666E-2</v>
      </c>
      <c r="D5" s="32">
        <v>1</v>
      </c>
      <c r="E5" s="99">
        <v>1000000</v>
      </c>
      <c r="F5" s="80">
        <v>24</v>
      </c>
      <c r="G5" s="32">
        <v>1</v>
      </c>
      <c r="H5" s="99">
        <v>300</v>
      </c>
      <c r="I5" s="80">
        <f>15/60</f>
        <v>0.25</v>
      </c>
      <c r="J5" s="34">
        <v>1</v>
      </c>
      <c r="K5" s="99">
        <v>600000</v>
      </c>
      <c r="L5" s="80">
        <v>24</v>
      </c>
      <c r="M5" s="32">
        <v>1</v>
      </c>
      <c r="N5" s="33">
        <v>150</v>
      </c>
      <c r="O5" s="80">
        <f>1/60</f>
        <v>1.6666666666666666E-2</v>
      </c>
      <c r="P5" s="32">
        <v>1</v>
      </c>
      <c r="Q5" s="33">
        <v>300</v>
      </c>
      <c r="R5" s="80">
        <f>15/60</f>
        <v>0.25</v>
      </c>
    </row>
    <row r="6" spans="1:18" x14ac:dyDescent="0.2">
      <c r="A6" s="32">
        <v>2</v>
      </c>
      <c r="B6" s="100">
        <v>300</v>
      </c>
      <c r="C6" s="81">
        <f>5/60</f>
        <v>8.3333333333333329E-2</v>
      </c>
      <c r="D6" s="32">
        <v>2</v>
      </c>
      <c r="E6" s="100">
        <v>1500000</v>
      </c>
      <c r="F6" s="81">
        <v>48</v>
      </c>
      <c r="G6" s="32">
        <v>2</v>
      </c>
      <c r="H6" s="100">
        <v>750</v>
      </c>
      <c r="I6" s="81">
        <f>30/60</f>
        <v>0.5</v>
      </c>
      <c r="J6" s="34">
        <v>2</v>
      </c>
      <c r="K6" s="100">
        <v>1200000</v>
      </c>
      <c r="L6" s="81">
        <v>48</v>
      </c>
      <c r="M6" s="32">
        <v>2</v>
      </c>
      <c r="N6" s="36">
        <v>300</v>
      </c>
      <c r="O6" s="81">
        <f>5/60</f>
        <v>8.3333333333333329E-2</v>
      </c>
      <c r="P6" s="32">
        <v>2</v>
      </c>
      <c r="Q6" s="36">
        <v>750</v>
      </c>
      <c r="R6" s="81">
        <f>30/60</f>
        <v>0.5</v>
      </c>
    </row>
    <row r="7" spans="1:18" x14ac:dyDescent="0.2">
      <c r="A7" s="32">
        <v>3</v>
      </c>
      <c r="B7" s="100">
        <v>700</v>
      </c>
      <c r="C7" s="81">
        <f>15/60</f>
        <v>0.25</v>
      </c>
      <c r="D7" s="32">
        <v>3</v>
      </c>
      <c r="E7" s="100">
        <v>2000000</v>
      </c>
      <c r="F7" s="81">
        <v>72</v>
      </c>
      <c r="G7" s="32">
        <v>3</v>
      </c>
      <c r="H7" s="100">
        <v>1500</v>
      </c>
      <c r="I7" s="81">
        <v>1</v>
      </c>
      <c r="J7" s="34">
        <v>3</v>
      </c>
      <c r="K7" s="100">
        <v>1800000</v>
      </c>
      <c r="L7" s="81">
        <v>72</v>
      </c>
      <c r="M7" s="32">
        <v>3</v>
      </c>
      <c r="N7" s="36">
        <v>700</v>
      </c>
      <c r="O7" s="81">
        <f>15/60</f>
        <v>0.25</v>
      </c>
      <c r="P7" s="32">
        <v>3</v>
      </c>
      <c r="Q7" s="36">
        <v>1500</v>
      </c>
      <c r="R7" s="81">
        <v>1</v>
      </c>
    </row>
    <row r="8" spans="1:18" x14ac:dyDescent="0.2">
      <c r="A8" s="32">
        <v>4</v>
      </c>
      <c r="B8" s="100">
        <v>1400</v>
      </c>
      <c r="C8" s="81">
        <v>1</v>
      </c>
      <c r="D8" s="32">
        <v>4</v>
      </c>
      <c r="E8" s="100">
        <v>3000000</v>
      </c>
      <c r="F8" s="81">
        <v>96</v>
      </c>
      <c r="G8" s="32">
        <v>4</v>
      </c>
      <c r="H8" s="100">
        <v>3000</v>
      </c>
      <c r="I8" s="81">
        <v>2</v>
      </c>
      <c r="J8" s="34">
        <v>4</v>
      </c>
      <c r="K8" s="100">
        <v>2400000</v>
      </c>
      <c r="L8" s="81">
        <v>96</v>
      </c>
      <c r="M8" s="32">
        <v>4</v>
      </c>
      <c r="N8" s="36">
        <v>1400</v>
      </c>
      <c r="O8" s="81">
        <v>1</v>
      </c>
      <c r="P8" s="32">
        <v>4</v>
      </c>
      <c r="Q8" s="36">
        <v>3000</v>
      </c>
      <c r="R8" s="81">
        <v>2</v>
      </c>
    </row>
    <row r="9" spans="1:18" x14ac:dyDescent="0.2">
      <c r="A9" s="32">
        <v>5</v>
      </c>
      <c r="B9" s="100">
        <v>3000</v>
      </c>
      <c r="C9" s="81">
        <v>2</v>
      </c>
      <c r="D9" s="32">
        <v>5</v>
      </c>
      <c r="E9" s="100">
        <v>4000000</v>
      </c>
      <c r="F9" s="81">
        <v>144</v>
      </c>
      <c r="G9" s="32">
        <v>5</v>
      </c>
      <c r="H9" s="100">
        <v>6000</v>
      </c>
      <c r="I9" s="81">
        <v>3</v>
      </c>
      <c r="J9" s="34">
        <v>5</v>
      </c>
      <c r="K9" s="100">
        <v>3000000</v>
      </c>
      <c r="L9" s="81">
        <v>120</v>
      </c>
      <c r="M9" s="32">
        <v>5</v>
      </c>
      <c r="N9" s="36">
        <v>3000</v>
      </c>
      <c r="O9" s="81">
        <v>2</v>
      </c>
      <c r="P9" s="32">
        <v>5</v>
      </c>
      <c r="Q9" s="36">
        <v>6000</v>
      </c>
      <c r="R9" s="81">
        <v>3</v>
      </c>
    </row>
    <row r="10" spans="1:18" x14ac:dyDescent="0.2">
      <c r="A10" s="32">
        <v>6</v>
      </c>
      <c r="B10" s="100">
        <v>7000</v>
      </c>
      <c r="C10" s="81">
        <v>6</v>
      </c>
      <c r="D10" s="32">
        <v>6</v>
      </c>
      <c r="E10" s="100">
        <v>5000000</v>
      </c>
      <c r="F10" s="81">
        <v>192</v>
      </c>
      <c r="G10" s="32">
        <v>6</v>
      </c>
      <c r="H10" s="100">
        <v>12000</v>
      </c>
      <c r="I10" s="81">
        <v>4</v>
      </c>
      <c r="J10" s="38">
        <v>6</v>
      </c>
      <c r="K10" s="103">
        <v>3600000</v>
      </c>
      <c r="L10" s="88">
        <v>144</v>
      </c>
      <c r="M10" s="32">
        <v>6</v>
      </c>
      <c r="N10" s="36">
        <v>7000</v>
      </c>
      <c r="O10" s="81">
        <v>6</v>
      </c>
      <c r="P10" s="32">
        <v>6</v>
      </c>
      <c r="Q10" s="36">
        <v>12000</v>
      </c>
      <c r="R10" s="81">
        <v>4</v>
      </c>
    </row>
    <row r="11" spans="1:18" x14ac:dyDescent="0.2">
      <c r="A11" s="32">
        <v>7</v>
      </c>
      <c r="B11" s="100">
        <v>14000</v>
      </c>
      <c r="C11" s="81">
        <v>12</v>
      </c>
      <c r="G11" s="32">
        <v>7</v>
      </c>
      <c r="H11" s="100">
        <v>25000</v>
      </c>
      <c r="I11" s="81">
        <v>6</v>
      </c>
      <c r="M11" s="32">
        <v>7</v>
      </c>
      <c r="N11" s="36">
        <v>14000</v>
      </c>
      <c r="O11" s="81">
        <v>12</v>
      </c>
      <c r="P11" s="32">
        <v>7</v>
      </c>
      <c r="Q11" s="36">
        <v>25000</v>
      </c>
      <c r="R11" s="81">
        <v>6</v>
      </c>
    </row>
    <row r="12" spans="1:18" x14ac:dyDescent="0.2">
      <c r="A12" s="32">
        <v>8</v>
      </c>
      <c r="B12" s="100">
        <v>28000</v>
      </c>
      <c r="C12" s="81">
        <v>24</v>
      </c>
      <c r="G12" s="32">
        <v>8</v>
      </c>
      <c r="H12" s="100">
        <v>50000</v>
      </c>
      <c r="I12" s="81">
        <v>8</v>
      </c>
      <c r="M12" s="32">
        <v>8</v>
      </c>
      <c r="N12" s="36">
        <v>28000</v>
      </c>
      <c r="O12" s="81">
        <v>24</v>
      </c>
      <c r="P12" s="32">
        <v>8</v>
      </c>
      <c r="Q12" s="36">
        <v>50000</v>
      </c>
      <c r="R12" s="81">
        <v>8</v>
      </c>
    </row>
    <row r="13" spans="1:18" x14ac:dyDescent="0.2">
      <c r="A13" s="7">
        <v>9</v>
      </c>
      <c r="B13" s="101">
        <v>56000</v>
      </c>
      <c r="C13" s="82">
        <v>48</v>
      </c>
      <c r="G13" s="7">
        <v>9</v>
      </c>
      <c r="H13" s="101">
        <v>100000</v>
      </c>
      <c r="I13" s="82">
        <v>12</v>
      </c>
      <c r="M13" s="7">
        <v>9</v>
      </c>
      <c r="N13" s="24">
        <v>56000</v>
      </c>
      <c r="O13" s="82">
        <v>48</v>
      </c>
      <c r="P13" s="7">
        <v>9</v>
      </c>
      <c r="Q13" s="24">
        <v>100000</v>
      </c>
      <c r="R13" s="82">
        <v>12</v>
      </c>
    </row>
    <row r="14" spans="1:18" x14ac:dyDescent="0.2">
      <c r="A14" s="7">
        <v>10</v>
      </c>
      <c r="B14" s="101">
        <v>84000</v>
      </c>
      <c r="C14" s="82">
        <v>72</v>
      </c>
      <c r="G14" s="7">
        <v>10</v>
      </c>
      <c r="H14" s="101">
        <v>250000</v>
      </c>
      <c r="I14" s="82">
        <v>24</v>
      </c>
      <c r="M14" s="7">
        <v>10</v>
      </c>
      <c r="N14" s="24">
        <v>84000</v>
      </c>
      <c r="O14" s="82">
        <v>72</v>
      </c>
      <c r="P14" s="7">
        <v>10</v>
      </c>
      <c r="Q14" s="24">
        <v>250000</v>
      </c>
      <c r="R14" s="82">
        <v>24</v>
      </c>
    </row>
    <row r="15" spans="1:18" ht="12" thickBot="1" x14ac:dyDescent="0.25">
      <c r="A15" s="8">
        <v>11</v>
      </c>
      <c r="B15" s="102">
        <v>168000</v>
      </c>
      <c r="C15" s="83">
        <v>96</v>
      </c>
      <c r="G15" s="8">
        <v>11</v>
      </c>
      <c r="H15" s="102">
        <v>500000</v>
      </c>
      <c r="I15" s="83">
        <v>48</v>
      </c>
      <c r="M15" s="8">
        <v>11</v>
      </c>
      <c r="N15" s="25">
        <v>168000</v>
      </c>
      <c r="O15" s="83">
        <v>96</v>
      </c>
      <c r="P15" s="8">
        <v>11</v>
      </c>
      <c r="Q15" s="25">
        <v>500000</v>
      </c>
      <c r="R15" s="83">
        <v>48</v>
      </c>
    </row>
    <row r="16" spans="1:18" x14ac:dyDescent="0.2">
      <c r="A16" s="322"/>
      <c r="B16" s="322"/>
      <c r="C16" s="322"/>
      <c r="I16" s="322"/>
      <c r="J16" s="322"/>
      <c r="K16" s="322"/>
    </row>
    <row r="17" spans="1:15" ht="12" thickBot="1" x14ac:dyDescent="0.25">
      <c r="A17" s="322"/>
      <c r="B17" s="322"/>
      <c r="C17" s="322"/>
      <c r="I17" s="322"/>
      <c r="J17" s="322"/>
      <c r="K17" s="322"/>
    </row>
    <row r="18" spans="1:15" ht="15.75" thickBot="1" x14ac:dyDescent="0.3">
      <c r="A18" s="508" t="s">
        <v>140</v>
      </c>
      <c r="B18" s="522"/>
      <c r="C18" s="522"/>
      <c r="D18" s="522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3"/>
    </row>
    <row r="19" spans="1:15" ht="15.75" thickBot="1" x14ac:dyDescent="0.3">
      <c r="A19" s="537" t="s">
        <v>77</v>
      </c>
      <c r="B19" s="538"/>
      <c r="C19" s="538"/>
      <c r="D19" s="538"/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9"/>
    </row>
    <row r="20" spans="1:15" ht="12" thickBot="1" x14ac:dyDescent="0.25">
      <c r="A20" s="558" t="s">
        <v>111</v>
      </c>
      <c r="B20" s="559"/>
      <c r="C20" s="560"/>
      <c r="D20" s="558" t="s">
        <v>112</v>
      </c>
      <c r="E20" s="559"/>
      <c r="F20" s="560"/>
      <c r="G20" s="540" t="s">
        <v>113</v>
      </c>
      <c r="H20" s="541"/>
      <c r="I20" s="542"/>
      <c r="J20" s="540" t="s">
        <v>114</v>
      </c>
      <c r="K20" s="541"/>
      <c r="L20" s="542"/>
      <c r="M20" s="540" t="s">
        <v>115</v>
      </c>
      <c r="N20" s="541"/>
      <c r="O20" s="542"/>
    </row>
    <row r="21" spans="1:15" ht="12" thickBot="1" x14ac:dyDescent="0.25">
      <c r="A21" s="26" t="s">
        <v>2</v>
      </c>
      <c r="B21" s="30" t="s">
        <v>133</v>
      </c>
      <c r="C21" s="31" t="s">
        <v>4</v>
      </c>
      <c r="D21" s="29" t="s">
        <v>2</v>
      </c>
      <c r="E21" s="30" t="s">
        <v>133</v>
      </c>
      <c r="F21" s="31" t="s">
        <v>4</v>
      </c>
      <c r="G21" s="26" t="s">
        <v>2</v>
      </c>
      <c r="H21" s="27" t="s">
        <v>133</v>
      </c>
      <c r="I21" s="28" t="s">
        <v>4</v>
      </c>
      <c r="J21" s="26" t="s">
        <v>2</v>
      </c>
      <c r="K21" s="27" t="s">
        <v>133</v>
      </c>
      <c r="L21" s="28" t="s">
        <v>4</v>
      </c>
      <c r="M21" s="26" t="s">
        <v>2</v>
      </c>
      <c r="N21" s="27" t="s">
        <v>133</v>
      </c>
      <c r="O21" s="28" t="s">
        <v>4</v>
      </c>
    </row>
    <row r="22" spans="1:15" x14ac:dyDescent="0.2">
      <c r="A22" s="32">
        <v>1</v>
      </c>
      <c r="B22" s="99">
        <v>750000</v>
      </c>
      <c r="C22" s="80">
        <v>72</v>
      </c>
      <c r="D22" s="35">
        <v>1</v>
      </c>
      <c r="E22" s="104">
        <v>200</v>
      </c>
      <c r="F22" s="84">
        <v>0.02</v>
      </c>
      <c r="G22" s="32">
        <v>1</v>
      </c>
      <c r="H22" s="99">
        <v>250</v>
      </c>
      <c r="I22" s="80">
        <f>5/60</f>
        <v>8.3333333333333329E-2</v>
      </c>
      <c r="J22" s="32">
        <v>1</v>
      </c>
      <c r="K22" s="99">
        <v>25000</v>
      </c>
      <c r="L22" s="80">
        <f>30/60</f>
        <v>0.5</v>
      </c>
      <c r="M22" s="32">
        <v>1</v>
      </c>
      <c r="N22" s="99">
        <v>200000</v>
      </c>
      <c r="O22" s="80">
        <v>24</v>
      </c>
    </row>
    <row r="23" spans="1:15" x14ac:dyDescent="0.2">
      <c r="A23" s="32">
        <v>2</v>
      </c>
      <c r="B23" s="100">
        <v>1500000</v>
      </c>
      <c r="C23" s="81">
        <v>120</v>
      </c>
      <c r="D23" s="32">
        <v>2</v>
      </c>
      <c r="E23" s="100">
        <v>1000</v>
      </c>
      <c r="F23" s="85">
        <v>0.25</v>
      </c>
      <c r="G23" s="32">
        <v>2</v>
      </c>
      <c r="H23" s="100">
        <v>2500</v>
      </c>
      <c r="I23" s="81">
        <v>1</v>
      </c>
      <c r="J23" s="32">
        <v>2</v>
      </c>
      <c r="K23" s="100">
        <v>50000</v>
      </c>
      <c r="L23" s="81">
        <v>5</v>
      </c>
      <c r="M23" s="32">
        <v>2</v>
      </c>
      <c r="N23" s="100">
        <v>400000</v>
      </c>
      <c r="O23" s="81">
        <v>48</v>
      </c>
    </row>
    <row r="24" spans="1:15" x14ac:dyDescent="0.2">
      <c r="A24" s="32">
        <v>3</v>
      </c>
      <c r="B24" s="100">
        <v>3000000</v>
      </c>
      <c r="C24" s="81">
        <v>144</v>
      </c>
      <c r="D24" s="32">
        <v>3</v>
      </c>
      <c r="E24" s="100">
        <v>2500</v>
      </c>
      <c r="F24" s="85">
        <v>2</v>
      </c>
      <c r="G24" s="32">
        <v>3</v>
      </c>
      <c r="H24" s="100">
        <v>10000</v>
      </c>
      <c r="I24" s="81">
        <v>3</v>
      </c>
      <c r="J24" s="32">
        <v>3</v>
      </c>
      <c r="K24" s="100">
        <v>90000</v>
      </c>
      <c r="L24" s="81">
        <v>12</v>
      </c>
      <c r="M24" s="32">
        <v>3</v>
      </c>
      <c r="N24" s="100">
        <v>800000</v>
      </c>
      <c r="O24" s="81">
        <v>96</v>
      </c>
    </row>
    <row r="25" spans="1:15" ht="12" thickBot="1" x14ac:dyDescent="0.25">
      <c r="A25" s="37">
        <v>4</v>
      </c>
      <c r="B25" s="103">
        <v>4000000</v>
      </c>
      <c r="C25" s="88">
        <v>168</v>
      </c>
      <c r="D25" s="32">
        <v>4</v>
      </c>
      <c r="E25" s="100">
        <v>5000</v>
      </c>
      <c r="F25" s="85">
        <v>4</v>
      </c>
      <c r="G25" s="32">
        <v>4</v>
      </c>
      <c r="H25" s="100">
        <v>100000</v>
      </c>
      <c r="I25" s="81">
        <v>8</v>
      </c>
      <c r="J25" s="32">
        <v>4</v>
      </c>
      <c r="K25" s="100">
        <v>270000</v>
      </c>
      <c r="L25" s="81">
        <v>24</v>
      </c>
      <c r="M25" s="32">
        <v>4</v>
      </c>
      <c r="N25" s="100">
        <v>1600000</v>
      </c>
      <c r="O25" s="81">
        <v>120</v>
      </c>
    </row>
    <row r="26" spans="1:15" x14ac:dyDescent="0.2">
      <c r="D26" s="32">
        <v>5</v>
      </c>
      <c r="E26" s="100">
        <v>10000</v>
      </c>
      <c r="F26" s="85">
        <v>10</v>
      </c>
      <c r="G26" s="32">
        <v>5</v>
      </c>
      <c r="H26" s="100">
        <v>250000</v>
      </c>
      <c r="I26" s="81">
        <v>24</v>
      </c>
      <c r="J26" s="32">
        <v>5</v>
      </c>
      <c r="K26" s="100">
        <v>500000</v>
      </c>
      <c r="L26" s="81">
        <v>48</v>
      </c>
      <c r="M26" s="138">
        <v>5</v>
      </c>
      <c r="N26" s="139">
        <v>3200000</v>
      </c>
      <c r="O26" s="88">
        <v>144</v>
      </c>
    </row>
    <row r="27" spans="1:15" x14ac:dyDescent="0.2">
      <c r="D27" s="32">
        <v>6</v>
      </c>
      <c r="E27" s="100">
        <v>80000</v>
      </c>
      <c r="F27" s="85">
        <v>16</v>
      </c>
      <c r="G27" s="32">
        <v>6</v>
      </c>
      <c r="H27" s="100">
        <v>750000</v>
      </c>
      <c r="I27" s="81">
        <v>76</v>
      </c>
      <c r="J27" s="32">
        <v>6</v>
      </c>
      <c r="K27" s="100">
        <v>1000000</v>
      </c>
      <c r="L27" s="81">
        <v>96</v>
      </c>
    </row>
    <row r="28" spans="1:15" x14ac:dyDescent="0.2">
      <c r="D28" s="32">
        <v>7</v>
      </c>
      <c r="E28" s="100">
        <v>240000</v>
      </c>
      <c r="F28" s="85">
        <v>24</v>
      </c>
      <c r="G28" s="32">
        <v>7</v>
      </c>
      <c r="H28" s="100">
        <v>2250000</v>
      </c>
      <c r="I28" s="81">
        <v>120</v>
      </c>
      <c r="J28" s="32">
        <v>7</v>
      </c>
      <c r="K28" s="100">
        <v>2500000</v>
      </c>
      <c r="L28" s="81">
        <v>120</v>
      </c>
    </row>
    <row r="29" spans="1:15" x14ac:dyDescent="0.2">
      <c r="D29" s="32">
        <v>8</v>
      </c>
      <c r="E29" s="100">
        <v>700000</v>
      </c>
      <c r="F29" s="85">
        <v>48</v>
      </c>
      <c r="G29" s="138">
        <v>8</v>
      </c>
      <c r="H29" s="139">
        <v>6250000</v>
      </c>
      <c r="I29" s="88">
        <v>240</v>
      </c>
      <c r="J29" s="32">
        <v>8</v>
      </c>
      <c r="K29" s="100">
        <v>4000000</v>
      </c>
      <c r="L29" s="81">
        <v>144</v>
      </c>
      <c r="M29" s="322"/>
      <c r="N29" s="322"/>
      <c r="O29" s="322"/>
    </row>
    <row r="30" spans="1:15" x14ac:dyDescent="0.2">
      <c r="D30" s="7">
        <v>9</v>
      </c>
      <c r="E30" s="101">
        <v>1500000</v>
      </c>
      <c r="F30" s="86">
        <v>96</v>
      </c>
    </row>
    <row r="31" spans="1:15" ht="12" thickBot="1" x14ac:dyDescent="0.25">
      <c r="D31" s="8">
        <v>10</v>
      </c>
      <c r="E31" s="105">
        <v>2000000</v>
      </c>
      <c r="F31" s="87">
        <v>144</v>
      </c>
    </row>
    <row r="32" spans="1:15" x14ac:dyDescent="0.2">
      <c r="A32" s="322"/>
      <c r="B32" s="322"/>
      <c r="C32" s="322"/>
      <c r="I32" s="322"/>
      <c r="J32" s="322"/>
      <c r="K32" s="322"/>
    </row>
    <row r="33" spans="1:37" ht="12" thickBot="1" x14ac:dyDescent="0.25">
      <c r="A33" s="322"/>
      <c r="B33" s="322"/>
      <c r="C33" s="322"/>
      <c r="I33" s="322"/>
      <c r="J33" s="322"/>
      <c r="K33" s="322"/>
    </row>
    <row r="34" spans="1:37" ht="16.5" thickBot="1" x14ac:dyDescent="0.35">
      <c r="A34" s="533" t="s">
        <v>163</v>
      </c>
      <c r="B34" s="522"/>
      <c r="C34" s="522"/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522"/>
      <c r="P34" s="522"/>
      <c r="Q34" s="522"/>
      <c r="R34" s="522"/>
      <c r="S34" s="522"/>
      <c r="T34" s="522"/>
      <c r="U34" s="522"/>
      <c r="V34" s="522"/>
      <c r="W34" s="522"/>
      <c r="X34" s="522"/>
      <c r="Y34" s="522"/>
      <c r="Z34" s="522"/>
      <c r="AA34" s="523"/>
    </row>
    <row r="35" spans="1:37" ht="16.5" thickBot="1" x14ac:dyDescent="0.3">
      <c r="A35" s="534" t="s">
        <v>76</v>
      </c>
      <c r="B35" s="562"/>
      <c r="C35" s="562"/>
      <c r="D35" s="562"/>
      <c r="E35" s="562"/>
      <c r="F35" s="562"/>
      <c r="G35" s="562"/>
      <c r="H35" s="562"/>
      <c r="I35" s="562"/>
      <c r="J35" s="562"/>
      <c r="K35" s="562"/>
      <c r="L35" s="562"/>
      <c r="M35" s="562"/>
      <c r="N35" s="562"/>
      <c r="O35" s="562"/>
      <c r="P35" s="562"/>
      <c r="Q35" s="562"/>
      <c r="R35" s="562"/>
      <c r="S35" s="562"/>
      <c r="T35" s="562"/>
      <c r="U35" s="562"/>
      <c r="V35" s="562"/>
      <c r="W35" s="562"/>
      <c r="X35" s="562"/>
      <c r="Y35" s="562"/>
      <c r="Z35" s="562"/>
      <c r="AA35" s="563"/>
    </row>
    <row r="36" spans="1:37" ht="12" thickBot="1" x14ac:dyDescent="0.25">
      <c r="A36" s="540" t="s">
        <v>116</v>
      </c>
      <c r="B36" s="556"/>
      <c r="C36" s="557"/>
      <c r="D36" s="540" t="s">
        <v>117</v>
      </c>
      <c r="E36" s="541"/>
      <c r="F36" s="542"/>
      <c r="G36" s="540" t="s">
        <v>119</v>
      </c>
      <c r="H36" s="556"/>
      <c r="I36" s="557"/>
      <c r="J36" s="540" t="s">
        <v>118</v>
      </c>
      <c r="K36" s="556"/>
      <c r="L36" s="557"/>
      <c r="M36" s="558" t="s">
        <v>153</v>
      </c>
      <c r="N36" s="559"/>
      <c r="O36" s="560"/>
      <c r="P36" s="558" t="s">
        <v>121</v>
      </c>
      <c r="Q36" s="559"/>
      <c r="R36" s="560"/>
      <c r="S36" s="540" t="s">
        <v>159</v>
      </c>
      <c r="T36" s="541"/>
      <c r="U36" s="542"/>
      <c r="V36" s="540" t="s">
        <v>123</v>
      </c>
      <c r="W36" s="541"/>
      <c r="X36" s="542"/>
      <c r="Y36" s="540" t="s">
        <v>154</v>
      </c>
      <c r="Z36" s="541"/>
      <c r="AA36" s="542"/>
    </row>
    <row r="37" spans="1:37" ht="12" thickBot="1" x14ac:dyDescent="0.25">
      <c r="A37" s="26" t="s">
        <v>2</v>
      </c>
      <c r="B37" s="27" t="s">
        <v>133</v>
      </c>
      <c r="C37" s="28" t="s">
        <v>4</v>
      </c>
      <c r="D37" s="345" t="s">
        <v>2</v>
      </c>
      <c r="E37" s="27" t="s">
        <v>133</v>
      </c>
      <c r="F37" s="28" t="s">
        <v>4</v>
      </c>
      <c r="G37" s="26" t="s">
        <v>2</v>
      </c>
      <c r="H37" s="27" t="s">
        <v>133</v>
      </c>
      <c r="I37" s="28" t="s">
        <v>4</v>
      </c>
      <c r="J37" s="29" t="s">
        <v>2</v>
      </c>
      <c r="K37" s="30" t="s">
        <v>133</v>
      </c>
      <c r="L37" s="31" t="s">
        <v>4</v>
      </c>
      <c r="M37" s="26" t="s">
        <v>2</v>
      </c>
      <c r="N37" s="30" t="s">
        <v>133</v>
      </c>
      <c r="O37" s="31" t="s">
        <v>4</v>
      </c>
      <c r="P37" s="29" t="s">
        <v>2</v>
      </c>
      <c r="Q37" s="30" t="s">
        <v>133</v>
      </c>
      <c r="R37" s="31" t="s">
        <v>4</v>
      </c>
      <c r="S37" s="26" t="s">
        <v>2</v>
      </c>
      <c r="T37" s="27" t="s">
        <v>133</v>
      </c>
      <c r="U37" s="28" t="s">
        <v>4</v>
      </c>
      <c r="V37" s="26" t="s">
        <v>2</v>
      </c>
      <c r="W37" s="27" t="s">
        <v>133</v>
      </c>
      <c r="X37" s="28" t="s">
        <v>4</v>
      </c>
      <c r="Y37" s="26" t="s">
        <v>2</v>
      </c>
      <c r="Z37" s="27" t="s">
        <v>133</v>
      </c>
      <c r="AA37" s="28" t="s">
        <v>4</v>
      </c>
    </row>
    <row r="38" spans="1:37" x14ac:dyDescent="0.2">
      <c r="A38" s="32">
        <v>1</v>
      </c>
      <c r="B38" s="33">
        <v>200</v>
      </c>
      <c r="C38" s="80">
        <v>0</v>
      </c>
      <c r="D38" s="35">
        <v>1</v>
      </c>
      <c r="E38" s="33">
        <v>250</v>
      </c>
      <c r="F38" s="80">
        <f>1/60</f>
        <v>1.6666666666666666E-2</v>
      </c>
      <c r="G38" s="32">
        <v>1</v>
      </c>
      <c r="H38" s="33">
        <v>1000</v>
      </c>
      <c r="I38" s="80">
        <f>15/60</f>
        <v>0.25</v>
      </c>
      <c r="J38" s="34">
        <v>1</v>
      </c>
      <c r="K38" s="33">
        <v>8000</v>
      </c>
      <c r="L38" s="80">
        <v>8</v>
      </c>
      <c r="M38" s="32">
        <v>1</v>
      </c>
      <c r="N38" s="33">
        <v>22500</v>
      </c>
      <c r="O38" s="80">
        <v>5</v>
      </c>
      <c r="P38" s="35">
        <v>1</v>
      </c>
      <c r="Q38" s="98">
        <v>180000</v>
      </c>
      <c r="R38" s="84">
        <v>12</v>
      </c>
      <c r="S38" s="32">
        <v>1</v>
      </c>
      <c r="T38" s="33">
        <v>1000000</v>
      </c>
      <c r="U38" s="80">
        <v>48</v>
      </c>
      <c r="V38" s="32">
        <v>1</v>
      </c>
      <c r="W38" s="33">
        <v>3000000</v>
      </c>
      <c r="X38" s="80">
        <v>168</v>
      </c>
      <c r="Y38" s="32">
        <v>1</v>
      </c>
      <c r="Z38" s="33">
        <v>5000000</v>
      </c>
      <c r="AA38" s="80">
        <v>168</v>
      </c>
    </row>
    <row r="39" spans="1:37" x14ac:dyDescent="0.2">
      <c r="A39" s="32">
        <v>2</v>
      </c>
      <c r="B39" s="36">
        <v>1000</v>
      </c>
      <c r="C39" s="81">
        <v>0</v>
      </c>
      <c r="D39" s="32">
        <v>2</v>
      </c>
      <c r="E39" s="36">
        <v>1000</v>
      </c>
      <c r="F39" s="81">
        <f>15/60</f>
        <v>0.25</v>
      </c>
      <c r="G39" s="32">
        <v>2</v>
      </c>
      <c r="H39" s="36">
        <v>2000</v>
      </c>
      <c r="I39" s="81">
        <f>30/60</f>
        <v>0.5</v>
      </c>
      <c r="J39" s="34">
        <v>2</v>
      </c>
      <c r="K39" s="36">
        <v>32000</v>
      </c>
      <c r="L39" s="81">
        <v>12</v>
      </c>
      <c r="M39" s="32">
        <v>2</v>
      </c>
      <c r="N39" s="36">
        <v>90000</v>
      </c>
      <c r="O39" s="81">
        <v>24</v>
      </c>
      <c r="P39" s="32">
        <v>2</v>
      </c>
      <c r="Q39" s="36">
        <v>360000</v>
      </c>
      <c r="R39" s="85">
        <v>24</v>
      </c>
      <c r="S39" s="32">
        <v>2</v>
      </c>
      <c r="T39" s="36">
        <v>1250000</v>
      </c>
      <c r="U39" s="81">
        <v>96</v>
      </c>
      <c r="V39" s="32">
        <v>2</v>
      </c>
      <c r="W39" s="36">
        <v>5000000</v>
      </c>
      <c r="X39" s="81">
        <v>240</v>
      </c>
      <c r="Y39" s="32">
        <v>2</v>
      </c>
      <c r="Z39" s="36">
        <v>8000000</v>
      </c>
      <c r="AA39" s="81">
        <v>240</v>
      </c>
    </row>
    <row r="40" spans="1:37" x14ac:dyDescent="0.2">
      <c r="A40" s="32">
        <v>3</v>
      </c>
      <c r="B40" s="36">
        <v>5000</v>
      </c>
      <c r="C40" s="81">
        <v>0</v>
      </c>
      <c r="D40" s="32">
        <v>3</v>
      </c>
      <c r="E40" s="36">
        <v>4000</v>
      </c>
      <c r="F40" s="81">
        <f>45/60</f>
        <v>0.75</v>
      </c>
      <c r="G40" s="32">
        <v>3</v>
      </c>
      <c r="H40" s="36">
        <v>5000</v>
      </c>
      <c r="I40" s="81">
        <f>45/60</f>
        <v>0.75</v>
      </c>
      <c r="J40" s="34">
        <v>3</v>
      </c>
      <c r="K40" s="36">
        <v>120000</v>
      </c>
      <c r="L40" s="81">
        <v>24</v>
      </c>
      <c r="M40" s="32">
        <v>3</v>
      </c>
      <c r="N40" s="36">
        <v>270000</v>
      </c>
      <c r="O40" s="81">
        <v>72</v>
      </c>
      <c r="P40" s="32">
        <v>3</v>
      </c>
      <c r="Q40" s="36">
        <v>720000</v>
      </c>
      <c r="R40" s="85">
        <v>48</v>
      </c>
      <c r="S40" s="32">
        <v>3</v>
      </c>
      <c r="T40" s="36">
        <v>1500000</v>
      </c>
      <c r="U40" s="81">
        <v>144</v>
      </c>
      <c r="V40" s="32">
        <v>3</v>
      </c>
      <c r="W40" s="36">
        <v>7000000</v>
      </c>
      <c r="X40" s="81">
        <v>336</v>
      </c>
    </row>
    <row r="41" spans="1:37" x14ac:dyDescent="0.2">
      <c r="A41" s="32">
        <v>4</v>
      </c>
      <c r="B41" s="36">
        <v>10000</v>
      </c>
      <c r="C41" s="81">
        <v>0</v>
      </c>
      <c r="D41" s="32">
        <v>4</v>
      </c>
      <c r="E41" s="36">
        <v>16000</v>
      </c>
      <c r="F41" s="81">
        <v>2</v>
      </c>
      <c r="G41" s="32">
        <v>4</v>
      </c>
      <c r="H41" s="36">
        <v>20000</v>
      </c>
      <c r="I41" s="81">
        <v>4</v>
      </c>
      <c r="J41" s="34">
        <v>4</v>
      </c>
      <c r="K41" s="36">
        <v>400000</v>
      </c>
      <c r="L41" s="81">
        <v>48</v>
      </c>
      <c r="M41" s="32">
        <v>4</v>
      </c>
      <c r="N41" s="36">
        <v>540000</v>
      </c>
      <c r="O41" s="81">
        <v>120</v>
      </c>
      <c r="P41" s="32">
        <v>4</v>
      </c>
      <c r="Q41" s="36">
        <v>1280000</v>
      </c>
      <c r="R41" s="85">
        <v>96</v>
      </c>
      <c r="S41" s="32">
        <v>4</v>
      </c>
      <c r="T41" s="36">
        <v>2000000</v>
      </c>
      <c r="U41" s="81">
        <v>192</v>
      </c>
      <c r="V41" s="32">
        <v>4</v>
      </c>
      <c r="W41" s="36">
        <v>8000000</v>
      </c>
      <c r="X41" s="81">
        <v>336</v>
      </c>
      <c r="Y41" s="322"/>
      <c r="Z41" s="322"/>
      <c r="AA41" s="322"/>
    </row>
    <row r="42" spans="1:37" s="322" customFormat="1" x14ac:dyDescent="0.2">
      <c r="A42" s="32">
        <v>5</v>
      </c>
      <c r="B42" s="36">
        <v>30000</v>
      </c>
      <c r="C42" s="81">
        <v>0</v>
      </c>
      <c r="D42" s="32">
        <v>5</v>
      </c>
      <c r="E42" s="36">
        <v>50000</v>
      </c>
      <c r="F42" s="81">
        <v>6</v>
      </c>
      <c r="G42" s="32">
        <v>5</v>
      </c>
      <c r="H42" s="36">
        <v>80000</v>
      </c>
      <c r="I42" s="81">
        <v>12</v>
      </c>
      <c r="J42" s="34">
        <v>5</v>
      </c>
      <c r="K42" s="36">
        <v>800000</v>
      </c>
      <c r="L42" s="81">
        <v>96</v>
      </c>
      <c r="M42" s="32">
        <v>5</v>
      </c>
      <c r="N42" s="36">
        <v>1080000</v>
      </c>
      <c r="O42" s="81">
        <v>144</v>
      </c>
      <c r="P42" s="32">
        <v>5</v>
      </c>
      <c r="Q42" s="36">
        <v>1960000</v>
      </c>
      <c r="R42" s="85">
        <v>144</v>
      </c>
      <c r="S42" s="32">
        <v>5</v>
      </c>
      <c r="T42" s="36">
        <v>2500000</v>
      </c>
      <c r="U42" s="81">
        <v>240</v>
      </c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</row>
    <row r="43" spans="1:37" s="322" customFormat="1" x14ac:dyDescent="0.2">
      <c r="A43" s="32">
        <v>6</v>
      </c>
      <c r="B43" s="36">
        <v>75000</v>
      </c>
      <c r="C43" s="81">
        <v>0</v>
      </c>
      <c r="D43" s="32">
        <v>6</v>
      </c>
      <c r="E43" s="36">
        <v>100000</v>
      </c>
      <c r="F43" s="81">
        <v>12</v>
      </c>
      <c r="G43" s="32">
        <v>6</v>
      </c>
      <c r="H43" s="36">
        <v>180000</v>
      </c>
      <c r="I43" s="81">
        <v>24</v>
      </c>
      <c r="J43" s="38">
        <v>6</v>
      </c>
      <c r="K43" s="36">
        <v>1600000</v>
      </c>
      <c r="L43" s="88">
        <v>120</v>
      </c>
      <c r="M43" s="32">
        <v>6</v>
      </c>
      <c r="N43" s="36">
        <v>2160000</v>
      </c>
      <c r="O43" s="81">
        <v>192</v>
      </c>
      <c r="P43" s="32">
        <v>6</v>
      </c>
      <c r="Q43" s="36">
        <v>2680000</v>
      </c>
      <c r="R43" s="85">
        <v>192</v>
      </c>
      <c r="S43" s="32">
        <v>6</v>
      </c>
      <c r="T43" s="36">
        <v>3000000</v>
      </c>
      <c r="U43" s="81">
        <v>288</v>
      </c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</row>
    <row r="44" spans="1:37" s="322" customFormat="1" x14ac:dyDescent="0.2">
      <c r="A44" s="32">
        <v>7</v>
      </c>
      <c r="B44" s="36">
        <v>200000</v>
      </c>
      <c r="C44" s="81">
        <v>0</v>
      </c>
      <c r="D44" s="32">
        <v>7</v>
      </c>
      <c r="E44" s="36">
        <v>200000</v>
      </c>
      <c r="F44" s="81">
        <v>24</v>
      </c>
      <c r="G44" s="32">
        <v>7</v>
      </c>
      <c r="H44" s="36">
        <v>360000</v>
      </c>
      <c r="I44" s="81">
        <v>72</v>
      </c>
      <c r="J44" s="7">
        <v>7</v>
      </c>
      <c r="K44" s="24">
        <v>3200000</v>
      </c>
      <c r="L44" s="82">
        <v>168</v>
      </c>
      <c r="M44" s="32">
        <v>7</v>
      </c>
      <c r="N44" s="36">
        <v>4320000</v>
      </c>
      <c r="O44" s="81">
        <v>240</v>
      </c>
      <c r="P44" s="32">
        <v>7</v>
      </c>
      <c r="Q44" s="36">
        <v>5360000</v>
      </c>
      <c r="R44" s="85">
        <v>240</v>
      </c>
      <c r="S44" s="32">
        <v>7</v>
      </c>
      <c r="T44" s="36">
        <v>3500000</v>
      </c>
      <c r="U44" s="81">
        <v>336</v>
      </c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</row>
    <row r="45" spans="1:37" s="322" customFormat="1" x14ac:dyDescent="0.2">
      <c r="A45" s="32">
        <v>8</v>
      </c>
      <c r="B45" s="36">
        <v>500000</v>
      </c>
      <c r="C45" s="81">
        <v>0</v>
      </c>
      <c r="D45" s="32">
        <v>8</v>
      </c>
      <c r="E45" s="36">
        <v>400000</v>
      </c>
      <c r="F45" s="81">
        <v>48</v>
      </c>
      <c r="G45" s="32">
        <v>8</v>
      </c>
      <c r="H45" s="36">
        <v>720000</v>
      </c>
      <c r="I45" s="81">
        <v>96</v>
      </c>
      <c r="J45" s="324"/>
      <c r="K45" s="324"/>
      <c r="L45" s="324"/>
      <c r="M45" s="32">
        <v>8</v>
      </c>
      <c r="N45" s="36">
        <v>7560000</v>
      </c>
      <c r="O45" s="81">
        <v>288</v>
      </c>
      <c r="P45" s="324"/>
      <c r="Q45" s="324"/>
      <c r="R45" s="324"/>
      <c r="S45" s="324"/>
      <c r="T45" s="324"/>
      <c r="U45" s="324"/>
      <c r="V45" s="324"/>
      <c r="W45" s="324"/>
      <c r="X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</row>
    <row r="46" spans="1:37" x14ac:dyDescent="0.2">
      <c r="A46" s="7">
        <v>9</v>
      </c>
      <c r="B46" s="24">
        <v>1000000</v>
      </c>
      <c r="C46" s="82">
        <v>0</v>
      </c>
      <c r="D46" s="7">
        <v>9</v>
      </c>
      <c r="E46" s="24">
        <v>800000</v>
      </c>
      <c r="F46" s="82">
        <v>72</v>
      </c>
      <c r="G46" s="7">
        <v>9</v>
      </c>
      <c r="H46" s="24">
        <v>1500000</v>
      </c>
      <c r="I46" s="82">
        <v>120</v>
      </c>
    </row>
    <row r="47" spans="1:37" x14ac:dyDescent="0.2">
      <c r="A47" s="7">
        <v>10</v>
      </c>
      <c r="B47" s="24">
        <v>3000000</v>
      </c>
      <c r="C47" s="82">
        <v>0</v>
      </c>
      <c r="D47" s="7">
        <v>10</v>
      </c>
      <c r="E47" s="24">
        <v>1600000</v>
      </c>
      <c r="F47" s="82">
        <v>96</v>
      </c>
      <c r="G47" s="7">
        <v>10</v>
      </c>
      <c r="H47" s="24">
        <v>2500000</v>
      </c>
      <c r="I47" s="82">
        <v>144</v>
      </c>
    </row>
    <row r="48" spans="1:37" ht="12" thickBot="1" x14ac:dyDescent="0.25">
      <c r="A48" s="8">
        <v>11</v>
      </c>
      <c r="B48" s="25">
        <v>4000000</v>
      </c>
      <c r="C48" s="83">
        <v>0</v>
      </c>
      <c r="D48" s="7">
        <v>11</v>
      </c>
      <c r="E48" s="25">
        <v>3200000</v>
      </c>
      <c r="F48" s="83">
        <v>120</v>
      </c>
      <c r="G48" s="8">
        <v>11</v>
      </c>
      <c r="H48" s="25">
        <v>5000000</v>
      </c>
      <c r="I48" s="83">
        <v>168</v>
      </c>
    </row>
    <row r="49" spans="1:6" ht="12" thickBot="1" x14ac:dyDescent="0.25">
      <c r="D49" s="37">
        <v>12</v>
      </c>
      <c r="E49" s="346">
        <v>6400000</v>
      </c>
      <c r="F49" s="88">
        <v>144</v>
      </c>
    </row>
    <row r="51" spans="1:6" ht="12" thickBot="1" x14ac:dyDescent="0.25"/>
    <row r="52" spans="1:6" ht="16.5" thickBot="1" x14ac:dyDescent="0.35">
      <c r="A52" s="533" t="s">
        <v>164</v>
      </c>
      <c r="B52" s="522"/>
      <c r="C52" s="522"/>
      <c r="D52" s="522"/>
      <c r="E52" s="522"/>
      <c r="F52" s="523"/>
    </row>
    <row r="53" spans="1:6" ht="15.75" thickBot="1" x14ac:dyDescent="0.3">
      <c r="A53" s="534" t="s">
        <v>76</v>
      </c>
      <c r="B53" s="535"/>
      <c r="C53" s="535"/>
      <c r="D53" s="535"/>
      <c r="E53" s="535"/>
      <c r="F53" s="536"/>
    </row>
    <row r="54" spans="1:6" ht="12" thickBot="1" x14ac:dyDescent="0.25">
      <c r="A54" s="543" t="s">
        <v>124</v>
      </c>
      <c r="B54" s="546"/>
      <c r="C54" s="547"/>
      <c r="D54" s="543" t="s">
        <v>125</v>
      </c>
      <c r="E54" s="546"/>
      <c r="F54" s="547"/>
    </row>
    <row r="55" spans="1:6" ht="12" thickBot="1" x14ac:dyDescent="0.25">
      <c r="A55" s="26" t="s">
        <v>2</v>
      </c>
      <c r="B55" s="27" t="s">
        <v>133</v>
      </c>
      <c r="C55" s="28" t="s">
        <v>4</v>
      </c>
      <c r="D55" s="26" t="s">
        <v>2</v>
      </c>
      <c r="E55" s="27" t="s">
        <v>133</v>
      </c>
      <c r="F55" s="28" t="s">
        <v>4</v>
      </c>
    </row>
    <row r="56" spans="1:6" x14ac:dyDescent="0.2">
      <c r="A56" s="32">
        <v>1</v>
      </c>
      <c r="B56" s="33">
        <v>40000</v>
      </c>
      <c r="C56" s="80">
        <v>0</v>
      </c>
      <c r="D56" s="32">
        <v>1</v>
      </c>
      <c r="E56" s="33">
        <v>0</v>
      </c>
      <c r="F56" s="80">
        <v>0</v>
      </c>
    </row>
    <row r="57" spans="1:6" x14ac:dyDescent="0.2">
      <c r="A57" s="32">
        <v>2</v>
      </c>
      <c r="B57" s="36">
        <v>100000</v>
      </c>
      <c r="C57" s="81">
        <v>6</v>
      </c>
      <c r="D57" s="32">
        <v>2</v>
      </c>
      <c r="E57" s="36">
        <v>1000</v>
      </c>
      <c r="F57" s="81">
        <f>5/60</f>
        <v>8.3333333333333329E-2</v>
      </c>
    </row>
    <row r="58" spans="1:6" x14ac:dyDescent="0.2">
      <c r="A58" s="32">
        <v>3</v>
      </c>
      <c r="B58" s="36">
        <v>800000</v>
      </c>
      <c r="C58" s="81">
        <v>24</v>
      </c>
      <c r="D58" s="32">
        <v>3</v>
      </c>
      <c r="E58" s="36">
        <v>4000</v>
      </c>
      <c r="F58" s="81">
        <v>3</v>
      </c>
    </row>
    <row r="59" spans="1:6" x14ac:dyDescent="0.2">
      <c r="A59" s="32">
        <v>4</v>
      </c>
      <c r="B59" s="36">
        <v>1800000</v>
      </c>
      <c r="C59" s="81">
        <v>48</v>
      </c>
      <c r="D59" s="32">
        <v>4</v>
      </c>
      <c r="E59" s="36">
        <v>25000</v>
      </c>
      <c r="F59" s="81">
        <v>24</v>
      </c>
    </row>
    <row r="60" spans="1:6" x14ac:dyDescent="0.2">
      <c r="A60" s="32">
        <v>5</v>
      </c>
      <c r="B60" s="36">
        <v>7000000</v>
      </c>
      <c r="C60" s="81">
        <v>168</v>
      </c>
      <c r="D60" s="32">
        <v>5</v>
      </c>
      <c r="E60" s="36">
        <v>150000</v>
      </c>
      <c r="F60" s="81">
        <v>48</v>
      </c>
    </row>
    <row r="61" spans="1:6" x14ac:dyDescent="0.2">
      <c r="D61" s="32">
        <v>6</v>
      </c>
      <c r="E61" s="106">
        <v>750000</v>
      </c>
      <c r="F61" s="81">
        <v>96</v>
      </c>
    </row>
    <row r="62" spans="1:6" x14ac:dyDescent="0.2">
      <c r="D62" s="32">
        <v>7</v>
      </c>
      <c r="E62" s="106">
        <v>1200000</v>
      </c>
      <c r="F62" s="81">
        <v>144</v>
      </c>
    </row>
    <row r="63" spans="1:6" x14ac:dyDescent="0.2">
      <c r="D63" s="32">
        <v>8</v>
      </c>
      <c r="E63" s="106">
        <v>2000000</v>
      </c>
      <c r="F63" s="81">
        <v>192</v>
      </c>
    </row>
    <row r="64" spans="1:6" x14ac:dyDescent="0.2">
      <c r="D64" s="32">
        <v>9</v>
      </c>
      <c r="E64" s="106">
        <v>3000000</v>
      </c>
      <c r="F64" s="81">
        <v>240</v>
      </c>
    </row>
    <row r="65" spans="1:30" x14ac:dyDescent="0.2">
      <c r="D65" s="32">
        <v>10</v>
      </c>
      <c r="E65" s="107">
        <v>4000000</v>
      </c>
      <c r="F65" s="88">
        <v>336</v>
      </c>
    </row>
    <row r="67" spans="1:30" ht="12" thickBot="1" x14ac:dyDescent="0.25"/>
    <row r="68" spans="1:30" ht="15.75" thickBot="1" x14ac:dyDescent="0.3">
      <c r="A68" s="508" t="s">
        <v>165</v>
      </c>
      <c r="B68" s="522"/>
      <c r="C68" s="522"/>
      <c r="D68" s="522"/>
      <c r="E68" s="522"/>
      <c r="F68" s="522"/>
      <c r="G68" s="522"/>
      <c r="H68" s="522"/>
      <c r="I68" s="522"/>
      <c r="J68" s="522"/>
      <c r="K68" s="522"/>
      <c r="L68" s="522"/>
      <c r="M68" s="522"/>
      <c r="N68" s="522"/>
      <c r="O68" s="523"/>
    </row>
    <row r="69" spans="1:30" ht="15.75" customHeight="1" thickBot="1" x14ac:dyDescent="0.3">
      <c r="A69" s="537" t="s">
        <v>77</v>
      </c>
      <c r="B69" s="538"/>
      <c r="C69" s="538"/>
      <c r="D69" s="538"/>
      <c r="E69" s="538"/>
      <c r="F69" s="538"/>
      <c r="G69" s="538"/>
      <c r="H69" s="538"/>
      <c r="I69" s="538"/>
      <c r="J69" s="538"/>
      <c r="K69" s="538"/>
      <c r="L69" s="538"/>
      <c r="M69" s="538"/>
      <c r="N69" s="538"/>
      <c r="O69" s="539"/>
    </row>
    <row r="70" spans="1:30" ht="12" thickBot="1" x14ac:dyDescent="0.25">
      <c r="A70" s="540" t="s">
        <v>100</v>
      </c>
      <c r="B70" s="541"/>
      <c r="C70" s="542"/>
      <c r="D70" s="540" t="s">
        <v>101</v>
      </c>
      <c r="E70" s="541"/>
      <c r="F70" s="542"/>
      <c r="G70" s="540" t="s">
        <v>102</v>
      </c>
      <c r="H70" s="541"/>
      <c r="I70" s="542"/>
      <c r="J70" s="540" t="s">
        <v>103</v>
      </c>
      <c r="K70" s="541"/>
      <c r="L70" s="542"/>
      <c r="M70" s="540" t="s">
        <v>104</v>
      </c>
      <c r="N70" s="541"/>
      <c r="O70" s="542"/>
    </row>
    <row r="71" spans="1:30" ht="12" thickBot="1" x14ac:dyDescent="0.25">
      <c r="A71" s="136" t="s">
        <v>2</v>
      </c>
      <c r="B71" s="30" t="s">
        <v>133</v>
      </c>
      <c r="C71" s="137" t="s">
        <v>4</v>
      </c>
      <c r="D71" s="136" t="s">
        <v>2</v>
      </c>
      <c r="E71" s="30" t="s">
        <v>133</v>
      </c>
      <c r="F71" s="137" t="s">
        <v>4</v>
      </c>
      <c r="G71" s="136" t="s">
        <v>2</v>
      </c>
      <c r="H71" s="30" t="s">
        <v>133</v>
      </c>
      <c r="I71" s="137" t="s">
        <v>4</v>
      </c>
      <c r="J71" s="136" t="s">
        <v>2</v>
      </c>
      <c r="K71" s="30" t="s">
        <v>133</v>
      </c>
      <c r="L71" s="137" t="s">
        <v>4</v>
      </c>
      <c r="M71" s="136" t="s">
        <v>2</v>
      </c>
      <c r="N71" s="30" t="s">
        <v>133</v>
      </c>
      <c r="O71" s="137" t="s">
        <v>4</v>
      </c>
    </row>
    <row r="72" spans="1:30" x14ac:dyDescent="0.2">
      <c r="A72" s="32">
        <v>1</v>
      </c>
      <c r="B72" s="99">
        <v>0</v>
      </c>
      <c r="C72" s="80">
        <v>0</v>
      </c>
      <c r="D72" s="32">
        <v>1</v>
      </c>
      <c r="E72" s="99">
        <v>0</v>
      </c>
      <c r="F72" s="80">
        <v>0</v>
      </c>
      <c r="G72" s="32">
        <v>1</v>
      </c>
      <c r="H72" s="99">
        <v>0</v>
      </c>
      <c r="I72" s="80">
        <v>0</v>
      </c>
      <c r="J72" s="32">
        <v>1</v>
      </c>
      <c r="K72" s="99">
        <v>0</v>
      </c>
      <c r="L72" s="80">
        <v>0</v>
      </c>
      <c r="M72" s="32">
        <v>1</v>
      </c>
      <c r="N72" s="99">
        <v>0</v>
      </c>
      <c r="O72" s="80">
        <v>0</v>
      </c>
    </row>
    <row r="73" spans="1:30" x14ac:dyDescent="0.2">
      <c r="A73" s="32">
        <v>2</v>
      </c>
      <c r="B73" s="100">
        <v>200000</v>
      </c>
      <c r="C73" s="81">
        <v>24</v>
      </c>
      <c r="D73" s="32">
        <v>2</v>
      </c>
      <c r="E73" s="100">
        <v>300000</v>
      </c>
      <c r="F73" s="81">
        <v>24</v>
      </c>
      <c r="G73" s="32">
        <v>2</v>
      </c>
      <c r="H73" s="100">
        <v>450000</v>
      </c>
      <c r="I73" s="81">
        <v>48</v>
      </c>
      <c r="J73" s="32">
        <v>2</v>
      </c>
      <c r="K73" s="100">
        <v>4000000</v>
      </c>
      <c r="L73" s="81">
        <v>120</v>
      </c>
      <c r="M73" s="32">
        <v>2</v>
      </c>
      <c r="N73" s="100">
        <v>5000000</v>
      </c>
      <c r="O73" s="81">
        <v>120</v>
      </c>
    </row>
    <row r="74" spans="1:30" x14ac:dyDescent="0.2">
      <c r="A74" s="32">
        <v>3</v>
      </c>
      <c r="B74" s="100">
        <v>500000</v>
      </c>
      <c r="C74" s="81">
        <v>48</v>
      </c>
      <c r="D74" s="32">
        <v>3</v>
      </c>
      <c r="E74" s="100">
        <v>600000</v>
      </c>
      <c r="F74" s="81">
        <v>48</v>
      </c>
      <c r="G74" s="32">
        <v>3</v>
      </c>
      <c r="H74" s="100">
        <v>900000</v>
      </c>
      <c r="I74" s="81">
        <v>72</v>
      </c>
    </row>
    <row r="75" spans="1:30" x14ac:dyDescent="0.2">
      <c r="A75" s="127">
        <v>4</v>
      </c>
      <c r="B75" s="128">
        <v>1000000</v>
      </c>
      <c r="C75" s="129">
        <v>72</v>
      </c>
      <c r="D75" s="127">
        <v>4</v>
      </c>
      <c r="E75" s="128">
        <v>1200000</v>
      </c>
      <c r="F75" s="129">
        <v>72</v>
      </c>
      <c r="G75" s="127">
        <v>4</v>
      </c>
      <c r="H75" s="128">
        <v>1800000</v>
      </c>
      <c r="I75" s="129">
        <v>120</v>
      </c>
    </row>
    <row r="76" spans="1:30" x14ac:dyDescent="0.2">
      <c r="A76" s="130">
        <v>5</v>
      </c>
      <c r="B76" s="131">
        <v>2000000</v>
      </c>
      <c r="C76" s="132">
        <v>96</v>
      </c>
      <c r="D76" s="130">
        <v>5</v>
      </c>
      <c r="E76" s="131">
        <v>2400000</v>
      </c>
      <c r="F76" s="132">
        <v>120</v>
      </c>
      <c r="G76" s="130">
        <v>5</v>
      </c>
      <c r="H76" s="131">
        <v>3000000</v>
      </c>
      <c r="I76" s="132">
        <v>168</v>
      </c>
    </row>
    <row r="77" spans="1:30" x14ac:dyDescent="0.2">
      <c r="A77" s="130">
        <v>6</v>
      </c>
      <c r="B77" s="103">
        <v>8000000</v>
      </c>
      <c r="C77" s="88">
        <v>336</v>
      </c>
      <c r="D77" s="135">
        <v>6</v>
      </c>
      <c r="E77" s="103">
        <v>4800000</v>
      </c>
      <c r="F77" s="88">
        <v>168</v>
      </c>
    </row>
    <row r="79" spans="1:30" ht="12" thickBot="1" x14ac:dyDescent="0.25"/>
    <row r="80" spans="1:30" ht="15.75" thickBot="1" x14ac:dyDescent="0.3">
      <c r="A80" s="508" t="s">
        <v>166</v>
      </c>
      <c r="B80" s="522"/>
      <c r="C80" s="522"/>
      <c r="D80" s="522"/>
      <c r="E80" s="522"/>
      <c r="F80" s="522"/>
      <c r="G80" s="522"/>
      <c r="H80" s="522"/>
      <c r="I80" s="522"/>
      <c r="J80" s="522"/>
      <c r="K80" s="522"/>
      <c r="L80" s="522"/>
      <c r="M80" s="522"/>
      <c r="N80" s="522"/>
      <c r="O80" s="522"/>
      <c r="P80" s="522"/>
      <c r="Q80" s="522"/>
      <c r="R80" s="522"/>
      <c r="S80" s="522"/>
      <c r="T80" s="522"/>
      <c r="U80" s="522"/>
      <c r="V80" s="522"/>
      <c r="W80" s="522"/>
      <c r="X80" s="522"/>
      <c r="Y80" s="522"/>
      <c r="Z80" s="522"/>
      <c r="AA80" s="522"/>
      <c r="AB80" s="522"/>
      <c r="AC80" s="522"/>
      <c r="AD80" s="523"/>
    </row>
    <row r="81" spans="1:30" ht="16.5" thickBot="1" x14ac:dyDescent="0.3">
      <c r="A81" s="537" t="s">
        <v>77</v>
      </c>
      <c r="B81" s="551"/>
      <c r="C81" s="551"/>
      <c r="D81" s="551"/>
      <c r="E81" s="551"/>
      <c r="F81" s="551"/>
      <c r="G81" s="551"/>
      <c r="H81" s="551"/>
      <c r="I81" s="551"/>
      <c r="J81" s="551"/>
      <c r="K81" s="551"/>
      <c r="L81" s="551"/>
      <c r="M81" s="551"/>
      <c r="N81" s="551"/>
      <c r="O81" s="551"/>
      <c r="P81" s="551"/>
      <c r="Q81" s="551"/>
      <c r="R81" s="551"/>
      <c r="S81" s="551"/>
      <c r="T81" s="551"/>
      <c r="U81" s="551"/>
      <c r="V81" s="551"/>
      <c r="W81" s="551"/>
      <c r="X81" s="551"/>
      <c r="Y81" s="551"/>
      <c r="Z81" s="551"/>
      <c r="AA81" s="551"/>
      <c r="AB81" s="551"/>
      <c r="AC81" s="551"/>
      <c r="AD81" s="552"/>
    </row>
    <row r="82" spans="1:30" ht="12" thickBot="1" x14ac:dyDescent="0.25">
      <c r="A82" s="543" t="s">
        <v>83</v>
      </c>
      <c r="B82" s="546"/>
      <c r="C82" s="547"/>
      <c r="D82" s="543" t="s">
        <v>20</v>
      </c>
      <c r="E82" s="544"/>
      <c r="F82" s="545"/>
      <c r="G82" s="543" t="s">
        <v>21</v>
      </c>
      <c r="H82" s="544"/>
      <c r="I82" s="545"/>
      <c r="J82" s="543" t="s">
        <v>84</v>
      </c>
      <c r="K82" s="544"/>
      <c r="L82" s="545"/>
      <c r="M82" s="553" t="s">
        <v>138</v>
      </c>
      <c r="N82" s="554"/>
      <c r="O82" s="555"/>
      <c r="P82" s="553" t="s">
        <v>86</v>
      </c>
      <c r="Q82" s="554"/>
      <c r="R82" s="555"/>
      <c r="S82" s="543" t="s">
        <v>87</v>
      </c>
      <c r="T82" s="546"/>
      <c r="U82" s="547"/>
      <c r="V82" s="543" t="s">
        <v>88</v>
      </c>
      <c r="W82" s="546"/>
      <c r="X82" s="547"/>
      <c r="Y82" s="543" t="s">
        <v>22</v>
      </c>
      <c r="Z82" s="546"/>
      <c r="AA82" s="547"/>
      <c r="AB82" s="543" t="s">
        <v>23</v>
      </c>
      <c r="AC82" s="546"/>
      <c r="AD82" s="547"/>
    </row>
    <row r="83" spans="1:30" ht="12" thickBot="1" x14ac:dyDescent="0.25">
      <c r="A83" s="26" t="s">
        <v>2</v>
      </c>
      <c r="B83" s="27" t="s">
        <v>133</v>
      </c>
      <c r="C83" s="28" t="s">
        <v>4</v>
      </c>
      <c r="D83" s="26" t="s">
        <v>2</v>
      </c>
      <c r="E83" s="27" t="s">
        <v>133</v>
      </c>
      <c r="F83" s="28" t="s">
        <v>4</v>
      </c>
      <c r="G83" s="26" t="s">
        <v>2</v>
      </c>
      <c r="H83" s="27" t="s">
        <v>133</v>
      </c>
      <c r="I83" s="28" t="s">
        <v>4</v>
      </c>
      <c r="J83" s="29" t="s">
        <v>2</v>
      </c>
      <c r="K83" s="30" t="s">
        <v>133</v>
      </c>
      <c r="L83" s="31" t="s">
        <v>4</v>
      </c>
      <c r="M83" s="26" t="s">
        <v>2</v>
      </c>
      <c r="N83" s="30" t="s">
        <v>133</v>
      </c>
      <c r="O83" s="31" t="s">
        <v>4</v>
      </c>
      <c r="P83" s="29" t="s">
        <v>2</v>
      </c>
      <c r="Q83" s="30" t="s">
        <v>133</v>
      </c>
      <c r="R83" s="31" t="s">
        <v>4</v>
      </c>
      <c r="S83" s="26" t="s">
        <v>2</v>
      </c>
      <c r="T83" s="27" t="s">
        <v>133</v>
      </c>
      <c r="U83" s="28" t="s">
        <v>4</v>
      </c>
      <c r="V83" s="26" t="s">
        <v>2</v>
      </c>
      <c r="W83" s="27" t="s">
        <v>133</v>
      </c>
      <c r="X83" s="28" t="s">
        <v>4</v>
      </c>
      <c r="Y83" s="26" t="s">
        <v>2</v>
      </c>
      <c r="Z83" s="27" t="s">
        <v>133</v>
      </c>
      <c r="AA83" s="28" t="s">
        <v>4</v>
      </c>
      <c r="AB83" s="26" t="s">
        <v>2</v>
      </c>
      <c r="AC83" s="27" t="s">
        <v>133</v>
      </c>
      <c r="AD83" s="28" t="s">
        <v>4</v>
      </c>
    </row>
    <row r="84" spans="1:30" x14ac:dyDescent="0.2">
      <c r="A84" s="32">
        <v>1</v>
      </c>
      <c r="B84" s="99">
        <v>0</v>
      </c>
      <c r="C84" s="80">
        <v>0</v>
      </c>
      <c r="D84" s="32">
        <v>1</v>
      </c>
      <c r="E84" s="99">
        <v>0</v>
      </c>
      <c r="F84" s="80">
        <v>0</v>
      </c>
      <c r="G84" s="32">
        <v>1</v>
      </c>
      <c r="H84" s="99">
        <v>0</v>
      </c>
      <c r="I84" s="80">
        <v>0</v>
      </c>
      <c r="J84" s="32">
        <v>1</v>
      </c>
      <c r="K84" s="99">
        <v>0</v>
      </c>
      <c r="L84" s="80">
        <v>0</v>
      </c>
      <c r="M84" s="32">
        <v>1</v>
      </c>
      <c r="N84" s="99">
        <v>0</v>
      </c>
      <c r="O84" s="347">
        <v>0</v>
      </c>
      <c r="P84" s="32">
        <v>1</v>
      </c>
      <c r="Q84" s="99">
        <v>0</v>
      </c>
      <c r="R84" s="347">
        <v>0</v>
      </c>
      <c r="S84" s="32">
        <v>1</v>
      </c>
      <c r="T84" s="99">
        <v>0</v>
      </c>
      <c r="U84" s="347">
        <v>0</v>
      </c>
      <c r="V84" s="32">
        <v>1</v>
      </c>
      <c r="W84" s="99">
        <v>0</v>
      </c>
      <c r="X84" s="347">
        <v>0</v>
      </c>
      <c r="Y84" s="32">
        <v>1</v>
      </c>
      <c r="Z84" s="99">
        <v>0</v>
      </c>
      <c r="AA84" s="347">
        <v>0</v>
      </c>
      <c r="AB84" s="32">
        <v>1</v>
      </c>
      <c r="AC84" s="99">
        <v>0</v>
      </c>
      <c r="AD84" s="347">
        <v>0</v>
      </c>
    </row>
    <row r="85" spans="1:30" x14ac:dyDescent="0.2">
      <c r="A85" s="32">
        <v>2</v>
      </c>
      <c r="B85" s="100">
        <v>50000</v>
      </c>
      <c r="C85" s="81">
        <v>6</v>
      </c>
      <c r="D85" s="32">
        <v>2</v>
      </c>
      <c r="E85" s="100">
        <v>50000</v>
      </c>
      <c r="F85" s="81">
        <v>12</v>
      </c>
      <c r="G85" s="32">
        <v>2</v>
      </c>
      <c r="H85" s="100">
        <v>50000</v>
      </c>
      <c r="I85" s="81">
        <v>12</v>
      </c>
      <c r="J85" s="32">
        <v>2</v>
      </c>
      <c r="K85" s="100">
        <v>100000</v>
      </c>
      <c r="L85" s="81">
        <v>24</v>
      </c>
      <c r="M85" s="32">
        <v>2</v>
      </c>
      <c r="N85" s="100">
        <v>100000</v>
      </c>
      <c r="O85" s="348">
        <v>24</v>
      </c>
      <c r="P85" s="32">
        <v>2</v>
      </c>
      <c r="Q85" s="100">
        <v>150000</v>
      </c>
      <c r="R85" s="348">
        <v>24</v>
      </c>
      <c r="S85" s="32">
        <v>2</v>
      </c>
      <c r="T85" s="100">
        <v>150000</v>
      </c>
      <c r="U85" s="348">
        <v>24</v>
      </c>
      <c r="V85" s="32">
        <v>2</v>
      </c>
      <c r="W85" s="100">
        <v>750000</v>
      </c>
      <c r="X85" s="348">
        <v>72</v>
      </c>
      <c r="Y85" s="32">
        <v>2</v>
      </c>
      <c r="Z85" s="100">
        <v>2000000</v>
      </c>
      <c r="AA85" s="348">
        <v>168</v>
      </c>
      <c r="AB85" s="32">
        <v>2</v>
      </c>
      <c r="AC85" s="100">
        <v>3000000</v>
      </c>
      <c r="AD85" s="348">
        <v>240</v>
      </c>
    </row>
    <row r="86" spans="1:30" x14ac:dyDescent="0.2">
      <c r="A86" s="32">
        <v>3</v>
      </c>
      <c r="B86" s="100">
        <v>150000</v>
      </c>
      <c r="C86" s="81">
        <v>24</v>
      </c>
      <c r="D86" s="32">
        <v>3</v>
      </c>
      <c r="E86" s="100">
        <v>250000</v>
      </c>
      <c r="F86" s="81">
        <v>48</v>
      </c>
      <c r="G86" s="32">
        <v>3</v>
      </c>
      <c r="H86" s="100">
        <v>250000</v>
      </c>
      <c r="I86" s="81">
        <v>48</v>
      </c>
      <c r="J86" s="32">
        <v>3</v>
      </c>
      <c r="K86" s="100">
        <v>250000</v>
      </c>
      <c r="L86" s="81">
        <v>48</v>
      </c>
      <c r="M86" s="32">
        <v>3</v>
      </c>
      <c r="N86" s="100">
        <v>250000</v>
      </c>
      <c r="O86" s="348">
        <v>48</v>
      </c>
      <c r="P86" s="32">
        <v>3</v>
      </c>
      <c r="Q86" s="100">
        <v>450000</v>
      </c>
      <c r="R86" s="348">
        <v>48</v>
      </c>
      <c r="S86" s="32">
        <v>3</v>
      </c>
      <c r="T86" s="100">
        <v>450000</v>
      </c>
      <c r="U86" s="348">
        <v>48</v>
      </c>
      <c r="V86" s="32">
        <v>3</v>
      </c>
      <c r="W86" s="100">
        <v>1500000</v>
      </c>
      <c r="X86" s="348">
        <v>120</v>
      </c>
      <c r="Y86" s="32">
        <v>3</v>
      </c>
      <c r="Z86" s="100">
        <v>3000000</v>
      </c>
      <c r="AA86" s="348">
        <v>240</v>
      </c>
      <c r="AB86" s="32">
        <v>3</v>
      </c>
      <c r="AC86" s="100">
        <v>6000000</v>
      </c>
      <c r="AD86" s="348">
        <v>288</v>
      </c>
    </row>
    <row r="87" spans="1:30" x14ac:dyDescent="0.2">
      <c r="A87" s="32">
        <v>4</v>
      </c>
      <c r="B87" s="100">
        <v>500000</v>
      </c>
      <c r="C87" s="81">
        <v>72</v>
      </c>
      <c r="D87" s="32">
        <v>4</v>
      </c>
      <c r="E87" s="100">
        <v>750000</v>
      </c>
      <c r="F87" s="81">
        <v>72</v>
      </c>
      <c r="G87" s="32">
        <v>4</v>
      </c>
      <c r="H87" s="100">
        <v>750000</v>
      </c>
      <c r="I87" s="81">
        <v>72</v>
      </c>
      <c r="J87" s="32">
        <v>4</v>
      </c>
      <c r="K87" s="100">
        <v>750000</v>
      </c>
      <c r="L87" s="81">
        <v>72</v>
      </c>
      <c r="M87" s="32">
        <v>4</v>
      </c>
      <c r="N87" s="100">
        <v>750000</v>
      </c>
      <c r="O87" s="348">
        <v>72</v>
      </c>
      <c r="P87" s="32">
        <v>4</v>
      </c>
      <c r="Q87" s="100">
        <v>1350000</v>
      </c>
      <c r="R87" s="348">
        <v>72</v>
      </c>
      <c r="S87" s="32">
        <v>4</v>
      </c>
      <c r="T87" s="100">
        <v>1350000</v>
      </c>
      <c r="U87" s="348">
        <v>72</v>
      </c>
      <c r="V87" s="32">
        <v>4</v>
      </c>
      <c r="W87" s="100">
        <v>3000000</v>
      </c>
      <c r="X87" s="348">
        <v>168</v>
      </c>
      <c r="Y87" s="32">
        <v>4</v>
      </c>
      <c r="Z87" s="100">
        <v>8000000</v>
      </c>
      <c r="AA87" s="348">
        <v>288</v>
      </c>
      <c r="AB87" s="135">
        <v>4</v>
      </c>
      <c r="AC87" s="103">
        <v>8000000</v>
      </c>
      <c r="AD87" s="343">
        <v>336</v>
      </c>
    </row>
    <row r="88" spans="1:30" x14ac:dyDescent="0.2">
      <c r="A88" s="32">
        <v>5</v>
      </c>
      <c r="B88" s="100">
        <v>1500000</v>
      </c>
      <c r="C88" s="81">
        <v>120</v>
      </c>
      <c r="D88" s="32">
        <v>5</v>
      </c>
      <c r="E88" s="100">
        <v>2250000</v>
      </c>
      <c r="F88" s="81">
        <v>120</v>
      </c>
      <c r="G88" s="32">
        <v>5</v>
      </c>
      <c r="H88" s="100">
        <v>2250000</v>
      </c>
      <c r="I88" s="81">
        <v>120</v>
      </c>
      <c r="J88" s="32">
        <v>5</v>
      </c>
      <c r="K88" s="100">
        <v>2250000</v>
      </c>
      <c r="L88" s="81">
        <v>120</v>
      </c>
      <c r="M88" s="32">
        <v>5</v>
      </c>
      <c r="N88" s="100">
        <v>2250000</v>
      </c>
      <c r="O88" s="348">
        <v>120</v>
      </c>
      <c r="P88" s="32">
        <v>5</v>
      </c>
      <c r="Q88" s="100">
        <v>2500000</v>
      </c>
      <c r="R88" s="348">
        <v>120</v>
      </c>
      <c r="S88" s="32">
        <v>5</v>
      </c>
      <c r="T88" s="100">
        <v>2500000</v>
      </c>
      <c r="U88" s="348">
        <v>120</v>
      </c>
    </row>
    <row r="89" spans="1:30" x14ac:dyDescent="0.2">
      <c r="A89" s="32">
        <v>6</v>
      </c>
      <c r="B89" s="100">
        <v>4500000</v>
      </c>
      <c r="C89" s="81">
        <v>240</v>
      </c>
      <c r="D89" s="32">
        <v>6</v>
      </c>
      <c r="E89" s="100">
        <v>7500000</v>
      </c>
      <c r="F89" s="81">
        <v>350</v>
      </c>
      <c r="J89" s="32">
        <v>6</v>
      </c>
      <c r="K89" s="100">
        <v>6000000</v>
      </c>
      <c r="L89" s="81">
        <v>240</v>
      </c>
      <c r="P89" s="32">
        <v>6</v>
      </c>
      <c r="Q89" s="100">
        <v>6000000</v>
      </c>
      <c r="R89" s="348">
        <v>240</v>
      </c>
    </row>
    <row r="91" spans="1:30" ht="12" thickBot="1" x14ac:dyDescent="0.25"/>
    <row r="92" spans="1:30" ht="15.75" thickBot="1" x14ac:dyDescent="0.3">
      <c r="A92" s="508" t="s">
        <v>167</v>
      </c>
      <c r="B92" s="522"/>
      <c r="C92" s="522"/>
      <c r="D92" s="522"/>
      <c r="E92" s="522"/>
      <c r="F92" s="522"/>
      <c r="G92" s="522"/>
      <c r="H92" s="522"/>
      <c r="I92" s="522"/>
      <c r="J92" s="522"/>
      <c r="K92" s="522"/>
      <c r="L92" s="523"/>
    </row>
    <row r="93" spans="1:30" ht="16.5" thickBot="1" x14ac:dyDescent="0.3">
      <c r="A93" s="548" t="s">
        <v>78</v>
      </c>
      <c r="B93" s="549"/>
      <c r="C93" s="549"/>
      <c r="D93" s="549"/>
      <c r="E93" s="549"/>
      <c r="F93" s="549"/>
      <c r="G93" s="549"/>
      <c r="H93" s="549"/>
      <c r="I93" s="549"/>
      <c r="J93" s="549"/>
      <c r="K93" s="549"/>
      <c r="L93" s="550"/>
    </row>
    <row r="94" spans="1:30" ht="12" thickBot="1" x14ac:dyDescent="0.25">
      <c r="A94" s="543" t="s">
        <v>97</v>
      </c>
      <c r="B94" s="546"/>
      <c r="C94" s="547"/>
      <c r="D94" s="543" t="s">
        <v>98</v>
      </c>
      <c r="E94" s="544"/>
      <c r="F94" s="545"/>
      <c r="G94" s="543" t="s">
        <v>24</v>
      </c>
      <c r="H94" s="544"/>
      <c r="I94" s="545"/>
      <c r="J94" s="543" t="s">
        <v>25</v>
      </c>
      <c r="K94" s="544"/>
      <c r="L94" s="545"/>
    </row>
    <row r="95" spans="1:30" ht="12" thickBot="1" x14ac:dyDescent="0.25">
      <c r="A95" s="26" t="s">
        <v>2</v>
      </c>
      <c r="B95" s="27" t="s">
        <v>133</v>
      </c>
      <c r="C95" s="28" t="s">
        <v>4</v>
      </c>
      <c r="D95" s="26" t="s">
        <v>2</v>
      </c>
      <c r="E95" s="27" t="s">
        <v>133</v>
      </c>
      <c r="F95" s="28" t="s">
        <v>4</v>
      </c>
      <c r="G95" s="26" t="s">
        <v>2</v>
      </c>
      <c r="H95" s="27" t="s">
        <v>133</v>
      </c>
      <c r="I95" s="28" t="s">
        <v>4</v>
      </c>
      <c r="J95" s="29" t="s">
        <v>2</v>
      </c>
      <c r="K95" s="30" t="s">
        <v>133</v>
      </c>
      <c r="L95" s="31" t="s">
        <v>4</v>
      </c>
    </row>
    <row r="96" spans="1:30" x14ac:dyDescent="0.2">
      <c r="A96" s="32">
        <v>1</v>
      </c>
      <c r="B96" s="133">
        <v>0</v>
      </c>
      <c r="C96" s="80">
        <v>0</v>
      </c>
      <c r="D96" s="32">
        <v>1</v>
      </c>
      <c r="E96" s="133">
        <v>0</v>
      </c>
      <c r="F96" s="80">
        <v>0</v>
      </c>
      <c r="G96" s="32">
        <v>1</v>
      </c>
      <c r="H96" s="133">
        <v>0</v>
      </c>
      <c r="I96" s="80">
        <v>0</v>
      </c>
      <c r="J96" s="32">
        <v>1</v>
      </c>
      <c r="K96" s="133">
        <v>0</v>
      </c>
      <c r="L96" s="80">
        <v>0</v>
      </c>
    </row>
    <row r="97" spans="1:12" x14ac:dyDescent="0.2">
      <c r="A97" s="32">
        <v>2</v>
      </c>
      <c r="B97" s="134">
        <v>10000</v>
      </c>
      <c r="C97" s="81">
        <v>120</v>
      </c>
      <c r="D97" s="32">
        <v>2</v>
      </c>
      <c r="E97" s="134">
        <v>20000</v>
      </c>
      <c r="F97" s="81">
        <v>192</v>
      </c>
      <c r="G97" s="32">
        <v>2</v>
      </c>
      <c r="H97" s="134">
        <v>50000</v>
      </c>
      <c r="I97" s="81">
        <v>240</v>
      </c>
      <c r="J97" s="32">
        <v>2</v>
      </c>
      <c r="K97" s="134">
        <v>60000</v>
      </c>
      <c r="L97" s="81">
        <v>240</v>
      </c>
    </row>
    <row r="98" spans="1:12" x14ac:dyDescent="0.2">
      <c r="A98" s="32">
        <v>3</v>
      </c>
      <c r="B98" s="134">
        <v>20000</v>
      </c>
      <c r="C98" s="81">
        <v>144</v>
      </c>
      <c r="D98" s="32">
        <v>3</v>
      </c>
      <c r="E98" s="134">
        <v>30000</v>
      </c>
      <c r="F98" s="81">
        <v>240</v>
      </c>
      <c r="G98" s="32">
        <v>3</v>
      </c>
      <c r="H98" s="134">
        <v>60000</v>
      </c>
      <c r="I98" s="81">
        <v>288</v>
      </c>
      <c r="J98" s="32">
        <v>3</v>
      </c>
      <c r="K98" s="134">
        <v>70000</v>
      </c>
      <c r="L98" s="81">
        <v>288</v>
      </c>
    </row>
    <row r="99" spans="1:12" x14ac:dyDescent="0.2">
      <c r="A99" s="32">
        <v>4</v>
      </c>
      <c r="B99" s="134">
        <v>30000</v>
      </c>
      <c r="C99" s="81">
        <v>168</v>
      </c>
      <c r="D99" s="32">
        <v>4</v>
      </c>
      <c r="E99" s="134">
        <v>40000</v>
      </c>
      <c r="F99" s="81">
        <v>288</v>
      </c>
      <c r="G99" s="32">
        <v>4</v>
      </c>
      <c r="H99" s="134">
        <v>70000</v>
      </c>
      <c r="I99" s="81">
        <v>336</v>
      </c>
      <c r="J99" s="32">
        <v>4</v>
      </c>
      <c r="K99" s="134">
        <v>80000</v>
      </c>
      <c r="L99" s="81">
        <v>336</v>
      </c>
    </row>
    <row r="100" spans="1:12" x14ac:dyDescent="0.2">
      <c r="A100" s="32">
        <v>5</v>
      </c>
      <c r="B100" s="134">
        <v>50000</v>
      </c>
      <c r="C100" s="81">
        <v>240</v>
      </c>
      <c r="D100" s="32">
        <v>5</v>
      </c>
      <c r="E100" s="134">
        <v>50000</v>
      </c>
      <c r="F100" s="81">
        <v>336</v>
      </c>
      <c r="J100" s="32">
        <v>5</v>
      </c>
      <c r="K100" s="134">
        <v>90000</v>
      </c>
      <c r="L100" s="81">
        <v>336</v>
      </c>
    </row>
    <row r="102" spans="1:12" ht="12" thickBot="1" x14ac:dyDescent="0.25"/>
    <row r="103" spans="1:12" ht="16.5" thickBot="1" x14ac:dyDescent="0.35">
      <c r="A103" s="533" t="s">
        <v>139</v>
      </c>
      <c r="B103" s="522"/>
      <c r="C103" s="522"/>
      <c r="D103" s="522"/>
      <c r="E103" s="522"/>
      <c r="F103" s="523"/>
    </row>
    <row r="104" spans="1:12" ht="16.5" thickBot="1" x14ac:dyDescent="0.3">
      <c r="A104" s="561" t="s">
        <v>78</v>
      </c>
      <c r="B104" s="549"/>
      <c r="C104" s="549"/>
      <c r="D104" s="549"/>
      <c r="E104" s="549"/>
      <c r="F104" s="550"/>
    </row>
    <row r="105" spans="1:12" ht="12" thickBot="1" x14ac:dyDescent="0.25">
      <c r="A105" s="540" t="s">
        <v>137</v>
      </c>
      <c r="B105" s="556"/>
      <c r="C105" s="557"/>
      <c r="D105" s="540" t="s">
        <v>99</v>
      </c>
      <c r="E105" s="556"/>
      <c r="F105" s="557"/>
    </row>
    <row r="106" spans="1:12" ht="12" thickBot="1" x14ac:dyDescent="0.25">
      <c r="A106" s="26" t="s">
        <v>2</v>
      </c>
      <c r="B106" s="27" t="s">
        <v>133</v>
      </c>
      <c r="C106" s="28" t="s">
        <v>4</v>
      </c>
      <c r="D106" s="26" t="s">
        <v>2</v>
      </c>
      <c r="E106" s="27" t="s">
        <v>133</v>
      </c>
      <c r="F106" s="28" t="s">
        <v>4</v>
      </c>
    </row>
    <row r="107" spans="1:12" ht="15" x14ac:dyDescent="0.25">
      <c r="A107" s="32">
        <v>1</v>
      </c>
      <c r="B107" s="133">
        <v>10000</v>
      </c>
      <c r="C107" s="80">
        <v>0</v>
      </c>
      <c r="D107" s="32">
        <v>1</v>
      </c>
      <c r="E107" s="133">
        <v>40000</v>
      </c>
      <c r="F107" s="80">
        <v>0</v>
      </c>
      <c r="H107" s="344"/>
    </row>
    <row r="108" spans="1:12" ht="15" x14ac:dyDescent="0.25">
      <c r="A108" s="32">
        <v>2</v>
      </c>
      <c r="B108" s="134">
        <v>12500</v>
      </c>
      <c r="C108" s="81">
        <v>12</v>
      </c>
      <c r="D108" s="32">
        <v>2</v>
      </c>
      <c r="E108" s="134">
        <v>22500</v>
      </c>
      <c r="F108" s="81">
        <v>12</v>
      </c>
      <c r="H108" s="344"/>
    </row>
    <row r="109" spans="1:12" ht="15" x14ac:dyDescent="0.25">
      <c r="A109" s="32">
        <v>3</v>
      </c>
      <c r="B109" s="134">
        <v>15000</v>
      </c>
      <c r="C109" s="81">
        <v>24</v>
      </c>
      <c r="D109" s="32">
        <v>3</v>
      </c>
      <c r="E109" s="134">
        <v>25000</v>
      </c>
      <c r="F109" s="81">
        <v>24</v>
      </c>
      <c r="H109" s="344"/>
    </row>
    <row r="110" spans="1:12" ht="15" x14ac:dyDescent="0.25">
      <c r="A110" s="32">
        <v>4</v>
      </c>
      <c r="B110" s="134">
        <v>17500</v>
      </c>
      <c r="C110" s="81">
        <v>36</v>
      </c>
      <c r="D110" s="32">
        <v>4</v>
      </c>
      <c r="E110" s="134">
        <v>27500</v>
      </c>
      <c r="F110" s="81">
        <v>36</v>
      </c>
      <c r="H110" s="344"/>
    </row>
    <row r="111" spans="1:12" ht="15" x14ac:dyDescent="0.25">
      <c r="A111" s="32">
        <v>5</v>
      </c>
      <c r="B111" s="134">
        <v>20000</v>
      </c>
      <c r="C111" s="81">
        <v>48</v>
      </c>
      <c r="D111" s="32">
        <v>5</v>
      </c>
      <c r="E111" s="134">
        <v>30000</v>
      </c>
      <c r="F111" s="81">
        <v>48</v>
      </c>
      <c r="H111" s="344"/>
    </row>
    <row r="112" spans="1:12" ht="15" x14ac:dyDescent="0.25">
      <c r="A112" s="32">
        <v>6</v>
      </c>
      <c r="B112" s="134">
        <v>22500</v>
      </c>
      <c r="C112" s="81">
        <v>60</v>
      </c>
      <c r="D112" s="32">
        <v>6</v>
      </c>
      <c r="E112" s="134">
        <v>32500</v>
      </c>
      <c r="F112" s="81">
        <v>60</v>
      </c>
      <c r="H112" s="344"/>
    </row>
    <row r="113" spans="1:8" ht="15" x14ac:dyDescent="0.25">
      <c r="A113" s="32">
        <v>7</v>
      </c>
      <c r="B113" s="134">
        <v>25000</v>
      </c>
      <c r="C113" s="81">
        <v>72</v>
      </c>
      <c r="D113" s="32">
        <v>7</v>
      </c>
      <c r="E113" s="134">
        <v>35000</v>
      </c>
      <c r="F113" s="81">
        <v>72</v>
      </c>
      <c r="H113" s="344"/>
    </row>
    <row r="114" spans="1:8" ht="15" x14ac:dyDescent="0.25">
      <c r="A114" s="32">
        <v>8</v>
      </c>
      <c r="B114" s="134">
        <v>30000</v>
      </c>
      <c r="C114" s="81">
        <v>84</v>
      </c>
      <c r="D114" s="32">
        <v>8</v>
      </c>
      <c r="E114" s="134">
        <v>40000</v>
      </c>
      <c r="F114" s="81">
        <v>84</v>
      </c>
      <c r="H114" s="344"/>
    </row>
    <row r="115" spans="1:8" ht="15" x14ac:dyDescent="0.25">
      <c r="A115" s="32">
        <v>9</v>
      </c>
      <c r="B115" s="134">
        <v>35000</v>
      </c>
      <c r="C115" s="81">
        <v>96</v>
      </c>
      <c r="D115" s="32">
        <v>9</v>
      </c>
      <c r="E115" s="134">
        <v>45000</v>
      </c>
      <c r="F115" s="81">
        <v>96</v>
      </c>
      <c r="H115" s="344"/>
    </row>
    <row r="116" spans="1:8" ht="15" x14ac:dyDescent="0.25">
      <c r="A116" s="32">
        <v>10</v>
      </c>
      <c r="B116" s="134">
        <v>40000</v>
      </c>
      <c r="C116" s="81">
        <v>108</v>
      </c>
      <c r="D116" s="32">
        <v>10</v>
      </c>
      <c r="E116" s="134">
        <v>50000</v>
      </c>
      <c r="F116" s="81">
        <v>108</v>
      </c>
      <c r="H116" s="344"/>
    </row>
    <row r="117" spans="1:8" ht="15" x14ac:dyDescent="0.25">
      <c r="A117" s="32">
        <v>11</v>
      </c>
      <c r="B117" s="134">
        <v>45000</v>
      </c>
      <c r="C117" s="81">
        <v>120</v>
      </c>
      <c r="D117" s="32">
        <v>11</v>
      </c>
      <c r="E117" s="134">
        <v>55000</v>
      </c>
      <c r="F117" s="81">
        <v>120</v>
      </c>
      <c r="H117" s="344"/>
    </row>
    <row r="118" spans="1:8" ht="15" x14ac:dyDescent="0.25">
      <c r="A118" s="32">
        <v>12</v>
      </c>
      <c r="B118" s="134">
        <v>50000</v>
      </c>
      <c r="C118" s="81">
        <v>132</v>
      </c>
      <c r="D118" s="32">
        <v>12</v>
      </c>
      <c r="E118" s="134">
        <v>60000</v>
      </c>
      <c r="F118" s="81">
        <v>132</v>
      </c>
      <c r="H118" s="344"/>
    </row>
    <row r="119" spans="1:8" ht="15" x14ac:dyDescent="0.25">
      <c r="A119" s="32">
        <v>13</v>
      </c>
      <c r="B119" s="134">
        <v>55000</v>
      </c>
      <c r="C119" s="81">
        <v>144</v>
      </c>
      <c r="D119" s="32">
        <v>13</v>
      </c>
      <c r="E119" s="134">
        <v>65000</v>
      </c>
      <c r="F119" s="81">
        <v>144</v>
      </c>
      <c r="H119" s="344"/>
    </row>
    <row r="120" spans="1:8" ht="15" x14ac:dyDescent="0.25">
      <c r="A120" s="32">
        <v>14</v>
      </c>
      <c r="B120" s="134">
        <v>60000</v>
      </c>
      <c r="C120" s="81">
        <v>156</v>
      </c>
      <c r="D120" s="32">
        <v>14</v>
      </c>
      <c r="E120" s="134">
        <v>70000</v>
      </c>
      <c r="F120" s="81">
        <v>156</v>
      </c>
      <c r="H120" s="344"/>
    </row>
    <row r="121" spans="1:8" ht="15" x14ac:dyDescent="0.25">
      <c r="A121" s="32">
        <v>15</v>
      </c>
      <c r="B121" s="134">
        <v>65000</v>
      </c>
      <c r="C121" s="81">
        <v>168</v>
      </c>
      <c r="D121" s="32">
        <v>15</v>
      </c>
      <c r="E121" s="134">
        <v>75000</v>
      </c>
      <c r="F121" s="81">
        <v>168</v>
      </c>
      <c r="H121" s="344"/>
    </row>
    <row r="122" spans="1:8" ht="15" x14ac:dyDescent="0.25">
      <c r="A122" s="32">
        <v>16</v>
      </c>
      <c r="B122" s="134">
        <v>70000</v>
      </c>
      <c r="C122" s="81">
        <v>180</v>
      </c>
      <c r="D122" s="32">
        <v>16</v>
      </c>
      <c r="E122" s="134">
        <v>80000</v>
      </c>
      <c r="F122" s="81">
        <v>168</v>
      </c>
      <c r="H122" s="344"/>
    </row>
    <row r="123" spans="1:8" ht="15" x14ac:dyDescent="0.25">
      <c r="A123" s="32">
        <v>17</v>
      </c>
      <c r="B123" s="134">
        <v>75000</v>
      </c>
      <c r="C123" s="81">
        <v>192</v>
      </c>
      <c r="D123" s="32">
        <v>17</v>
      </c>
      <c r="E123" s="134">
        <v>85000</v>
      </c>
      <c r="F123" s="81">
        <v>168</v>
      </c>
      <c r="H123" s="344"/>
    </row>
    <row r="124" spans="1:8" ht="15" x14ac:dyDescent="0.25">
      <c r="A124" s="32">
        <v>18</v>
      </c>
      <c r="B124" s="134">
        <v>80000</v>
      </c>
      <c r="C124" s="81">
        <v>204</v>
      </c>
      <c r="D124" s="32">
        <v>18</v>
      </c>
      <c r="E124" s="134">
        <v>90000</v>
      </c>
      <c r="F124" s="81">
        <v>168</v>
      </c>
      <c r="H124" s="344"/>
    </row>
    <row r="125" spans="1:8" ht="15" x14ac:dyDescent="0.25">
      <c r="A125" s="32">
        <v>19</v>
      </c>
      <c r="B125" s="134">
        <v>85000</v>
      </c>
      <c r="C125" s="81">
        <v>216</v>
      </c>
      <c r="D125" s="32">
        <v>19</v>
      </c>
      <c r="E125" s="134">
        <v>95000</v>
      </c>
      <c r="F125" s="81">
        <v>168</v>
      </c>
      <c r="H125" s="344"/>
    </row>
    <row r="126" spans="1:8" ht="15" x14ac:dyDescent="0.25">
      <c r="A126" s="32">
        <v>20</v>
      </c>
      <c r="B126" s="134">
        <v>90000</v>
      </c>
      <c r="C126" s="81">
        <v>228</v>
      </c>
      <c r="D126" s="32">
        <v>20</v>
      </c>
      <c r="E126" s="134">
        <v>100000</v>
      </c>
      <c r="F126" s="81">
        <v>168</v>
      </c>
      <c r="H126" s="344"/>
    </row>
    <row r="127" spans="1:8" ht="15" x14ac:dyDescent="0.25">
      <c r="A127" s="32">
        <v>21</v>
      </c>
      <c r="B127" s="134">
        <v>95000</v>
      </c>
      <c r="C127" s="81">
        <v>240</v>
      </c>
      <c r="D127" s="32">
        <v>21</v>
      </c>
      <c r="E127" s="134">
        <v>105000</v>
      </c>
      <c r="F127" s="81">
        <v>168</v>
      </c>
      <c r="H127" s="344"/>
    </row>
    <row r="128" spans="1:8" ht="15" x14ac:dyDescent="0.25">
      <c r="A128" s="32">
        <v>22</v>
      </c>
      <c r="B128" s="134">
        <v>100000</v>
      </c>
      <c r="C128" s="81">
        <v>252</v>
      </c>
      <c r="D128" s="32">
        <v>22</v>
      </c>
      <c r="E128" s="134">
        <v>110000</v>
      </c>
      <c r="F128" s="81">
        <v>168</v>
      </c>
      <c r="H128" s="344"/>
    </row>
    <row r="129" spans="1:8" ht="15" x14ac:dyDescent="0.25">
      <c r="A129" s="32">
        <v>23</v>
      </c>
      <c r="B129" s="134">
        <v>105000</v>
      </c>
      <c r="C129" s="81">
        <v>264</v>
      </c>
      <c r="D129" s="32">
        <v>23</v>
      </c>
      <c r="E129" s="134">
        <v>115000</v>
      </c>
      <c r="F129" s="81">
        <v>168</v>
      </c>
      <c r="H129" s="344"/>
    </row>
    <row r="130" spans="1:8" ht="15" x14ac:dyDescent="0.25">
      <c r="A130" s="32">
        <v>24</v>
      </c>
      <c r="B130" s="134">
        <v>110000</v>
      </c>
      <c r="C130" s="81">
        <v>276</v>
      </c>
      <c r="D130" s="32">
        <v>24</v>
      </c>
      <c r="E130" s="134">
        <v>120000</v>
      </c>
      <c r="F130" s="81">
        <v>168</v>
      </c>
      <c r="H130" s="344"/>
    </row>
    <row r="131" spans="1:8" ht="15" x14ac:dyDescent="0.25">
      <c r="A131" s="32">
        <v>25</v>
      </c>
      <c r="B131" s="134">
        <v>115000</v>
      </c>
      <c r="C131" s="81">
        <v>288</v>
      </c>
      <c r="D131" s="32">
        <v>25</v>
      </c>
      <c r="E131" s="134">
        <v>125000</v>
      </c>
      <c r="F131" s="81">
        <v>168</v>
      </c>
      <c r="H131" s="344"/>
    </row>
    <row r="132" spans="1:8" ht="15" x14ac:dyDescent="0.25">
      <c r="A132" s="32">
        <v>26</v>
      </c>
      <c r="B132" s="134">
        <v>120000</v>
      </c>
      <c r="C132" s="81">
        <v>300</v>
      </c>
      <c r="D132" s="32">
        <v>26</v>
      </c>
      <c r="E132" s="134">
        <v>130000</v>
      </c>
      <c r="F132" s="81">
        <v>168</v>
      </c>
      <c r="H132" s="344"/>
    </row>
    <row r="133" spans="1:8" ht="15" x14ac:dyDescent="0.25">
      <c r="A133" s="32">
        <v>27</v>
      </c>
      <c r="B133" s="134">
        <v>125000</v>
      </c>
      <c r="C133" s="81">
        <v>312</v>
      </c>
      <c r="D133" s="32">
        <v>27</v>
      </c>
      <c r="E133" s="134">
        <v>135000</v>
      </c>
      <c r="F133" s="81">
        <v>168</v>
      </c>
      <c r="H133" s="344"/>
    </row>
    <row r="134" spans="1:8" ht="15" x14ac:dyDescent="0.25">
      <c r="A134" s="32">
        <v>28</v>
      </c>
      <c r="B134" s="134">
        <v>130000</v>
      </c>
      <c r="C134" s="81">
        <v>324</v>
      </c>
      <c r="D134" s="32">
        <v>28</v>
      </c>
      <c r="E134" s="134">
        <v>140000</v>
      </c>
      <c r="F134" s="81">
        <v>168</v>
      </c>
      <c r="H134" s="344"/>
    </row>
    <row r="135" spans="1:8" ht="15" x14ac:dyDescent="0.25">
      <c r="A135" s="32">
        <v>29</v>
      </c>
      <c r="B135" s="134">
        <v>135000</v>
      </c>
      <c r="C135" s="81">
        <v>336</v>
      </c>
      <c r="D135" s="32">
        <v>29</v>
      </c>
      <c r="E135" s="134">
        <v>145000</v>
      </c>
      <c r="F135" s="81">
        <v>168</v>
      </c>
      <c r="H135" s="344"/>
    </row>
    <row r="136" spans="1:8" ht="15" x14ac:dyDescent="0.25">
      <c r="A136" s="32">
        <v>30</v>
      </c>
      <c r="B136" s="134">
        <v>140000</v>
      </c>
      <c r="C136" s="81">
        <v>348</v>
      </c>
      <c r="D136" s="32">
        <v>30</v>
      </c>
      <c r="E136" s="134">
        <v>150000</v>
      </c>
      <c r="F136" s="81">
        <v>168</v>
      </c>
      <c r="H136" s="344"/>
    </row>
    <row r="137" spans="1:8" ht="15" x14ac:dyDescent="0.25">
      <c r="A137" s="32">
        <v>31</v>
      </c>
      <c r="B137" s="134">
        <v>145000</v>
      </c>
      <c r="C137" s="81">
        <v>360</v>
      </c>
      <c r="D137" s="32">
        <v>31</v>
      </c>
      <c r="E137" s="134">
        <v>155000</v>
      </c>
      <c r="F137" s="81">
        <v>168</v>
      </c>
      <c r="H137" s="344"/>
    </row>
    <row r="138" spans="1:8" ht="15" x14ac:dyDescent="0.25">
      <c r="A138" s="32">
        <v>32</v>
      </c>
      <c r="B138" s="134">
        <v>150000</v>
      </c>
      <c r="C138" s="81">
        <v>372</v>
      </c>
      <c r="D138" s="32">
        <v>32</v>
      </c>
      <c r="E138" s="134">
        <v>160000</v>
      </c>
      <c r="F138" s="81">
        <v>168</v>
      </c>
      <c r="H138" s="344"/>
    </row>
    <row r="139" spans="1:8" ht="15" x14ac:dyDescent="0.25">
      <c r="A139" s="32">
        <v>33</v>
      </c>
      <c r="B139" s="134">
        <v>155000</v>
      </c>
      <c r="C139" s="81">
        <v>384</v>
      </c>
      <c r="D139" s="32">
        <v>33</v>
      </c>
      <c r="E139" s="134">
        <v>165000</v>
      </c>
      <c r="F139" s="81">
        <v>168</v>
      </c>
      <c r="H139" s="344"/>
    </row>
    <row r="140" spans="1:8" ht="15" x14ac:dyDescent="0.25">
      <c r="A140" s="32">
        <v>34</v>
      </c>
      <c r="B140" s="134">
        <v>160000</v>
      </c>
      <c r="C140" s="81">
        <v>396</v>
      </c>
      <c r="D140" s="32">
        <v>34</v>
      </c>
      <c r="E140" s="134">
        <v>170000</v>
      </c>
      <c r="F140" s="81">
        <v>168</v>
      </c>
      <c r="H140" s="344"/>
    </row>
    <row r="141" spans="1:8" ht="15" x14ac:dyDescent="0.25">
      <c r="A141" s="32">
        <v>35</v>
      </c>
      <c r="B141" s="134">
        <v>165000</v>
      </c>
      <c r="C141" s="81">
        <v>408</v>
      </c>
      <c r="D141" s="32">
        <v>35</v>
      </c>
      <c r="E141" s="134">
        <v>175000</v>
      </c>
      <c r="F141" s="81">
        <v>168</v>
      </c>
      <c r="H141" s="344"/>
    </row>
    <row r="142" spans="1:8" ht="15" x14ac:dyDescent="0.25">
      <c r="A142" s="32">
        <v>36</v>
      </c>
      <c r="B142" s="134">
        <v>170000</v>
      </c>
      <c r="C142" s="81">
        <v>420</v>
      </c>
      <c r="D142" s="32">
        <v>36</v>
      </c>
      <c r="E142" s="134">
        <v>180000</v>
      </c>
      <c r="F142" s="81">
        <v>168</v>
      </c>
      <c r="H142" s="344"/>
    </row>
    <row r="143" spans="1:8" ht="15" x14ac:dyDescent="0.25">
      <c r="A143" s="32">
        <v>37</v>
      </c>
      <c r="B143" s="134">
        <v>175000</v>
      </c>
      <c r="C143" s="81">
        <v>432</v>
      </c>
      <c r="D143" s="32">
        <v>37</v>
      </c>
      <c r="E143" s="134">
        <v>185000</v>
      </c>
      <c r="F143" s="81">
        <v>168</v>
      </c>
      <c r="H143" s="344"/>
    </row>
    <row r="144" spans="1:8" ht="15" x14ac:dyDescent="0.25">
      <c r="A144" s="32">
        <v>38</v>
      </c>
      <c r="B144" s="134">
        <v>180000</v>
      </c>
      <c r="C144" s="81">
        <v>444</v>
      </c>
      <c r="D144" s="32">
        <v>38</v>
      </c>
      <c r="E144" s="134">
        <v>190000</v>
      </c>
      <c r="F144" s="81">
        <v>168</v>
      </c>
      <c r="H144" s="344"/>
    </row>
    <row r="145" spans="1:8" ht="15" x14ac:dyDescent="0.25">
      <c r="A145" s="32">
        <v>39</v>
      </c>
      <c r="B145" s="134">
        <v>185000</v>
      </c>
      <c r="C145" s="81">
        <v>456</v>
      </c>
      <c r="D145" s="32">
        <v>39</v>
      </c>
      <c r="E145" s="134">
        <v>195000</v>
      </c>
      <c r="F145" s="81">
        <v>168</v>
      </c>
      <c r="H145" s="344"/>
    </row>
    <row r="146" spans="1:8" ht="15" x14ac:dyDescent="0.25">
      <c r="A146" s="32">
        <v>40</v>
      </c>
      <c r="B146" s="134">
        <v>190000</v>
      </c>
      <c r="C146" s="81">
        <v>468</v>
      </c>
      <c r="D146" s="32">
        <v>40</v>
      </c>
      <c r="E146" s="134">
        <v>200000</v>
      </c>
      <c r="F146" s="81">
        <v>168</v>
      </c>
      <c r="H146" s="344"/>
    </row>
  </sheetData>
  <mergeCells count="60">
    <mergeCell ref="M70:O70"/>
    <mergeCell ref="A69:O69"/>
    <mergeCell ref="A68:O68"/>
    <mergeCell ref="A70:C70"/>
    <mergeCell ref="D70:F70"/>
    <mergeCell ref="G70:I70"/>
    <mergeCell ref="J70:L70"/>
    <mergeCell ref="A105:C105"/>
    <mergeCell ref="D105:F105"/>
    <mergeCell ref="A103:F103"/>
    <mergeCell ref="A104:F104"/>
    <mergeCell ref="A34:AA34"/>
    <mergeCell ref="A35:AA35"/>
    <mergeCell ref="D36:F36"/>
    <mergeCell ref="G36:I36"/>
    <mergeCell ref="A36:C36"/>
    <mergeCell ref="J36:L36"/>
    <mergeCell ref="M36:O36"/>
    <mergeCell ref="P36:R36"/>
    <mergeCell ref="S36:U36"/>
    <mergeCell ref="V36:X36"/>
    <mergeCell ref="Y36:AA36"/>
    <mergeCell ref="A82:C82"/>
    <mergeCell ref="D54:F54"/>
    <mergeCell ref="J3:L3"/>
    <mergeCell ref="A20:C20"/>
    <mergeCell ref="D20:F20"/>
    <mergeCell ref="G20:I20"/>
    <mergeCell ref="J20:L20"/>
    <mergeCell ref="A54:C54"/>
    <mergeCell ref="A3:C3"/>
    <mergeCell ref="D3:F3"/>
    <mergeCell ref="G3:I3"/>
    <mergeCell ref="AB82:AD82"/>
    <mergeCell ref="A80:AD80"/>
    <mergeCell ref="A81:AD81"/>
    <mergeCell ref="S82:U82"/>
    <mergeCell ref="V82:X82"/>
    <mergeCell ref="Y82:AA82"/>
    <mergeCell ref="D82:F82"/>
    <mergeCell ref="G82:I82"/>
    <mergeCell ref="J82:L82"/>
    <mergeCell ref="M82:O82"/>
    <mergeCell ref="P82:R82"/>
    <mergeCell ref="A94:C94"/>
    <mergeCell ref="D94:F94"/>
    <mergeCell ref="G94:I94"/>
    <mergeCell ref="J94:L94"/>
    <mergeCell ref="A92:L92"/>
    <mergeCell ref="A93:L93"/>
    <mergeCell ref="A1:R1"/>
    <mergeCell ref="M2:R2"/>
    <mergeCell ref="A53:F53"/>
    <mergeCell ref="A52:F52"/>
    <mergeCell ref="A2:L2"/>
    <mergeCell ref="A19:O19"/>
    <mergeCell ref="A18:O18"/>
    <mergeCell ref="M20:O20"/>
    <mergeCell ref="M3:O3"/>
    <mergeCell ref="P3:R3"/>
  </mergeCells>
  <pageMargins left="0.7" right="0.7" top="0.75" bottom="0.75" header="0.3" footer="0.3"/>
  <pageSetup paperSize="9" orientation="portrait" r:id="rId1"/>
  <tableParts count="4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1"/>
  </sheetPr>
  <dimension ref="A1:AX89"/>
  <sheetViews>
    <sheetView showGridLines="0" zoomScaleNormal="100" workbookViewId="0">
      <selection activeCell="AZ2" sqref="AZ2"/>
    </sheetView>
  </sheetViews>
  <sheetFormatPr baseColWidth="10" defaultRowHeight="15" x14ac:dyDescent="0.25"/>
  <cols>
    <col min="1" max="1" width="4.7109375" style="308" customWidth="1"/>
    <col min="2" max="12" width="3" style="308" customWidth="1"/>
    <col min="13" max="13" width="3.5703125" style="308" customWidth="1"/>
    <col min="14" max="21" width="3" style="308" customWidth="1"/>
    <col min="22" max="23" width="3.42578125" style="308" customWidth="1"/>
    <col min="24" max="24" width="0.85546875" style="308" customWidth="1"/>
    <col min="25" max="43" width="3" style="308" customWidth="1"/>
    <col min="44" max="44" width="0.85546875" style="308" customWidth="1"/>
    <col min="45" max="46" width="3" style="308" customWidth="1"/>
    <col min="47" max="47" width="5.28515625" style="300" customWidth="1"/>
    <col min="48" max="48" width="12.7109375" style="303" customWidth="1"/>
    <col min="49" max="49" width="12.7109375" style="300" customWidth="1"/>
    <col min="50" max="50" width="11.42578125" style="303" hidden="1" customWidth="1"/>
    <col min="51" max="51" width="4.7109375" style="300" customWidth="1"/>
    <col min="52" max="16384" width="11.42578125" style="300"/>
  </cols>
  <sheetData>
    <row r="1" spans="1:50" ht="30" customHeight="1" thickBot="1" x14ac:dyDescent="0.3">
      <c r="A1" s="589" t="s">
        <v>14</v>
      </c>
      <c r="B1" s="582" t="s">
        <v>56</v>
      </c>
      <c r="C1" s="583"/>
      <c r="D1" s="583"/>
      <c r="E1" s="583"/>
      <c r="F1" s="583"/>
      <c r="G1" s="584"/>
      <c r="H1" s="582" t="s">
        <v>57</v>
      </c>
      <c r="I1" s="583"/>
      <c r="J1" s="583"/>
      <c r="K1" s="583"/>
      <c r="L1" s="584"/>
      <c r="M1" s="582" t="s">
        <v>58</v>
      </c>
      <c r="N1" s="583"/>
      <c r="O1" s="583"/>
      <c r="P1" s="583"/>
      <c r="Q1" s="583"/>
      <c r="R1" s="583"/>
      <c r="S1" s="583"/>
      <c r="T1" s="583"/>
      <c r="U1" s="584"/>
      <c r="V1" s="591" t="s">
        <v>59</v>
      </c>
      <c r="W1" s="592"/>
      <c r="X1" s="287"/>
      <c r="Y1" s="582" t="s">
        <v>60</v>
      </c>
      <c r="Z1" s="583"/>
      <c r="AA1" s="583"/>
      <c r="AB1" s="583"/>
      <c r="AC1" s="584"/>
      <c r="AD1" s="582" t="s">
        <v>61</v>
      </c>
      <c r="AE1" s="583"/>
      <c r="AF1" s="583"/>
      <c r="AG1" s="583"/>
      <c r="AH1" s="583"/>
      <c r="AI1" s="583"/>
      <c r="AJ1" s="583"/>
      <c r="AK1" s="583"/>
      <c r="AL1" s="583"/>
      <c r="AM1" s="584"/>
      <c r="AN1" s="582" t="s">
        <v>62</v>
      </c>
      <c r="AO1" s="583"/>
      <c r="AP1" s="583"/>
      <c r="AQ1" s="584"/>
      <c r="AR1" s="288"/>
      <c r="AS1" s="587" t="s">
        <v>63</v>
      </c>
      <c r="AT1" s="588"/>
      <c r="AV1" s="275" t="s">
        <v>69</v>
      </c>
      <c r="AW1" s="276" t="s">
        <v>70</v>
      </c>
      <c r="AX1" s="301" t="s">
        <v>14</v>
      </c>
    </row>
    <row r="2" spans="1:50" ht="81.75" thickBot="1" x14ac:dyDescent="0.3">
      <c r="A2" s="590"/>
      <c r="B2" s="277" t="s">
        <v>105</v>
      </c>
      <c r="C2" s="278" t="s">
        <v>106</v>
      </c>
      <c r="D2" s="278" t="s">
        <v>131</v>
      </c>
      <c r="E2" s="278" t="s">
        <v>108</v>
      </c>
      <c r="F2" s="278" t="s">
        <v>109</v>
      </c>
      <c r="G2" s="279" t="s">
        <v>132</v>
      </c>
      <c r="H2" s="277" t="s">
        <v>112</v>
      </c>
      <c r="I2" s="278" t="s">
        <v>111</v>
      </c>
      <c r="J2" s="278" t="s">
        <v>113</v>
      </c>
      <c r="K2" s="278" t="s">
        <v>114</v>
      </c>
      <c r="L2" s="279" t="s">
        <v>130</v>
      </c>
      <c r="M2" s="277" t="s">
        <v>116</v>
      </c>
      <c r="N2" s="278" t="s">
        <v>117</v>
      </c>
      <c r="O2" s="278" t="s">
        <v>119</v>
      </c>
      <c r="P2" s="278" t="s">
        <v>118</v>
      </c>
      <c r="Q2" s="278" t="s">
        <v>153</v>
      </c>
      <c r="R2" s="278" t="s">
        <v>121</v>
      </c>
      <c r="S2" s="278" t="s">
        <v>159</v>
      </c>
      <c r="T2" s="278" t="s">
        <v>123</v>
      </c>
      <c r="U2" s="279" t="s">
        <v>154</v>
      </c>
      <c r="V2" s="277" t="s">
        <v>124</v>
      </c>
      <c r="W2" s="279" t="s">
        <v>125</v>
      </c>
      <c r="X2" s="280"/>
      <c r="Y2" s="277" t="s">
        <v>100</v>
      </c>
      <c r="Z2" s="278" t="s">
        <v>101</v>
      </c>
      <c r="AA2" s="278" t="s">
        <v>102</v>
      </c>
      <c r="AB2" s="278" t="s">
        <v>103</v>
      </c>
      <c r="AC2" s="279" t="s">
        <v>104</v>
      </c>
      <c r="AD2" s="277" t="s">
        <v>83</v>
      </c>
      <c r="AE2" s="278" t="s">
        <v>20</v>
      </c>
      <c r="AF2" s="278" t="s">
        <v>21</v>
      </c>
      <c r="AG2" s="278" t="s">
        <v>84</v>
      </c>
      <c r="AH2" s="278" t="s">
        <v>138</v>
      </c>
      <c r="AI2" s="278" t="s">
        <v>86</v>
      </c>
      <c r="AJ2" s="278" t="s">
        <v>87</v>
      </c>
      <c r="AK2" s="278" t="s">
        <v>88</v>
      </c>
      <c r="AL2" s="278" t="s">
        <v>22</v>
      </c>
      <c r="AM2" s="279" t="s">
        <v>23</v>
      </c>
      <c r="AN2" s="277" t="s">
        <v>97</v>
      </c>
      <c r="AO2" s="278" t="s">
        <v>98</v>
      </c>
      <c r="AP2" s="278" t="s">
        <v>24</v>
      </c>
      <c r="AQ2" s="279" t="s">
        <v>25</v>
      </c>
      <c r="AR2" s="281"/>
      <c r="AS2" s="277" t="s">
        <v>137</v>
      </c>
      <c r="AT2" s="279" t="s">
        <v>99</v>
      </c>
      <c r="AV2" s="153">
        <v>7</v>
      </c>
      <c r="AW2" s="154">
        <v>5</v>
      </c>
      <c r="AX2" s="302">
        <v>0</v>
      </c>
    </row>
    <row r="3" spans="1:50" ht="15.75" thickBot="1" x14ac:dyDescent="0.3">
      <c r="A3" s="283" t="s">
        <v>16</v>
      </c>
      <c r="B3" s="293">
        <f>VLOOKUP($AV$2,AVAILABLE_Buildings_Resource[#All],MATCH(B$2,AVAILABLE_Buildings_Resource[#Headers],0))</f>
        <v>6</v>
      </c>
      <c r="C3" s="294">
        <f>VLOOKUP($AV$2,AVAILABLE_Buildings_Resource[#All],MATCH(C$2,AVAILABLE_Buildings_Resource[#Headers],0))</f>
        <v>6</v>
      </c>
      <c r="D3" s="294">
        <f>VLOOKUP($AV$2,AVAILABLE_Buildings_Resource[#All],MATCH(D$2,AVAILABLE_Buildings_Resource[#Headers],0))</f>
        <v>0</v>
      </c>
      <c r="E3" s="294">
        <f>VLOOKUP($AV$2,AVAILABLE_Buildings_Resource[#All],MATCH(E$2,AVAILABLE_Buildings_Resource[#Headers],0))</f>
        <v>2</v>
      </c>
      <c r="F3" s="294">
        <f>VLOOKUP($AV$2,AVAILABLE_Buildings_Resource[#All],MATCH(F$2,AVAILABLE_Buildings_Resource[#Headers],0))</f>
        <v>2</v>
      </c>
      <c r="G3" s="295">
        <f>VLOOKUP($AV$2,AVAILABLE_Buildings_Resource[#All],MATCH(G$2,AVAILABLE_Buildings_Resource[#Headers],0))</f>
        <v>1</v>
      </c>
      <c r="H3" s="293">
        <f>VLOOKUP($AV$2,AVAILABLE_Buildings_Army[#All],MATCH(H$2,AVAILABLE_Buildings_Army[#Headers],0))</f>
        <v>4</v>
      </c>
      <c r="I3" s="294">
        <f>VLOOKUP($AV$2,AVAILABLE_Buildings_Army[#All],MATCH(I$2,AVAILABLE_Buildings_Army[#Headers],0))</f>
        <v>1</v>
      </c>
      <c r="J3" s="294">
        <f>VLOOKUP($AV$2,AVAILABLE_Buildings_Army[#All],MATCH(J$2,AVAILABLE_Buildings_Army[#Headers],0))</f>
        <v>4</v>
      </c>
      <c r="K3" s="294">
        <f>VLOOKUP($AV$2,AVAILABLE_Buildings_Army[#All],MATCH(K$2,AVAILABLE_Buildings_Army[#Headers],0))</f>
        <v>1</v>
      </c>
      <c r="L3" s="295">
        <f>VLOOKUP($AV$2,AVAILABLE_Buildings_Army[#All],MATCH(L$2,AVAILABLE_Buildings_Army[#Headers],0))</f>
        <v>1</v>
      </c>
      <c r="M3" s="293">
        <f>VLOOKUP($AV$2,AVAILABLE_Buildings_Defensive[#All],MATCH(M$2,AVAILABLE_Buildings_Defensive[#Headers],0))</f>
        <v>175</v>
      </c>
      <c r="N3" s="294">
        <f>VLOOKUP($AV$2,AVAILABLE_Buildings_Defensive[#All],MATCH(N$2,AVAILABLE_Buildings_Defensive[#Headers],0))</f>
        <v>5</v>
      </c>
      <c r="O3" s="294">
        <f>VLOOKUP($AV$2,AVAILABLE_Buildings_Defensive[#All],MATCH(O$2,AVAILABLE_Buildings_Defensive[#Headers],0))</f>
        <v>4</v>
      </c>
      <c r="P3" s="294">
        <f>VLOOKUP($AV$2,AVAILABLE_Buildings_Defensive[#All],MATCH(P$2,AVAILABLE_Buildings_Defensive[#Headers],0))</f>
        <v>3</v>
      </c>
      <c r="Q3" s="294">
        <f>VLOOKUP($AV$2,AVAILABLE_Buildings_Defensive[#All],MATCH(Q$2,AVAILABLE_Buildings_Defensive[#Headers],0))</f>
        <v>2</v>
      </c>
      <c r="R3" s="294">
        <f>VLOOKUP($AV$2,AVAILABLE_Buildings_Defensive[#All],MATCH(R$2,AVAILABLE_Buildings_Defensive[#Headers],0))</f>
        <v>2</v>
      </c>
      <c r="S3" s="294">
        <f>VLOOKUP($AV$2,AVAILABLE_Buildings_Defensive[#All],MATCH(S$2,AVAILABLE_Buildings_Defensive[#Headers],0))</f>
        <v>2</v>
      </c>
      <c r="T3" s="294">
        <f>VLOOKUP($AV$2,AVAILABLE_Buildings_Defensive[#All],MATCH(T$2,AVAILABLE_Buildings_Defensive[#Headers],0))</f>
        <v>0</v>
      </c>
      <c r="U3" s="295">
        <f>VLOOKUP($AV$2,AVAILABLE_Buildings_Defensive[#All],MATCH(U$2,AVAILABLE_Buildings_Defensive[#Headers],0))</f>
        <v>0</v>
      </c>
      <c r="V3" s="293">
        <f>VLOOKUP($AV$2,AVAILABLE_Buildings_Other[#All],MATCH(V$2,AVAILABLE_Buildings_Other[#Headers],0))</f>
        <v>1</v>
      </c>
      <c r="W3" s="295">
        <f>VLOOKUP($AV$2,AVAILABLE_Buildings_Other[#All],MATCH(W$2,AVAILABLE_Buildings_Other[#Headers],0))</f>
        <v>1</v>
      </c>
      <c r="X3" s="292"/>
      <c r="Y3" s="289">
        <f>VLOOKUP($AV$2,AVAILABLE_Upgrades_Spells[#All],MATCH(Y$2,AVAILABLE_Upgrades_Spells[#Headers],0))</f>
        <v>1</v>
      </c>
      <c r="Z3" s="290">
        <f>VLOOKUP($AV$2,AVAILABLE_Upgrades_Spells[#All],MATCH(Z$2,AVAILABLE_Upgrades_Spells[#Headers],0))</f>
        <v>1</v>
      </c>
      <c r="AA3" s="290">
        <f>VLOOKUP($AV$2,AVAILABLE_Upgrades_Spells[#All],MATCH(AA$2,AVAILABLE_Upgrades_Spells[#Headers],0))</f>
        <v>1</v>
      </c>
      <c r="AB3" s="290">
        <f>VLOOKUP($AV$2,AVAILABLE_Upgrades_Spells[#All],MATCH(AB$2,AVAILABLE_Upgrades_Spells[#Headers],0))</f>
        <v>0</v>
      </c>
      <c r="AC3" s="291">
        <f>VLOOKUP($AV$2,AVAILABLE_Upgrades_Spells[#All],MATCH(AC$2,AVAILABLE_Upgrades_Spells[#Headers],0))</f>
        <v>0</v>
      </c>
      <c r="AD3" s="289">
        <f>VLOOKUP($AV$2,AVAILABLE_Upgrades_Normal_Troops[#All],MATCH(AD$2,AVAILABLE_Upgrades_Normal_Troops[#Headers],0))</f>
        <v>1</v>
      </c>
      <c r="AE3" s="290">
        <f>VLOOKUP($AV$2,AVAILABLE_Upgrades_Normal_Troops[#All],MATCH(AE$2,AVAILABLE_Upgrades_Normal_Troops[#Headers],0))</f>
        <v>1</v>
      </c>
      <c r="AF3" s="290">
        <f>VLOOKUP($AV$2,AVAILABLE_Upgrades_Normal_Troops[#All],MATCH(AF$2,AVAILABLE_Upgrades_Normal_Troops[#Headers],0))</f>
        <v>1</v>
      </c>
      <c r="AG3" s="290">
        <f>VLOOKUP($AV$2,AVAILABLE_Upgrades_Normal_Troops[#All],MATCH(AG$2,AVAILABLE_Upgrades_Normal_Troops[#Headers],0))</f>
        <v>1</v>
      </c>
      <c r="AH3" s="290">
        <f>VLOOKUP($AV$2,AVAILABLE_Upgrades_Normal_Troops[#All],MATCH(AH$2,AVAILABLE_Upgrades_Normal_Troops[#Headers],0))</f>
        <v>1</v>
      </c>
      <c r="AI3" s="290">
        <f>VLOOKUP($AV$2,AVAILABLE_Upgrades_Normal_Troops[#All],MATCH(AI$2,AVAILABLE_Upgrades_Normal_Troops[#Headers],0))</f>
        <v>1</v>
      </c>
      <c r="AJ3" s="290">
        <f>VLOOKUP($AV$2,AVAILABLE_Upgrades_Normal_Troops[#All],MATCH(AJ$2,AVAILABLE_Upgrades_Normal_Troops[#Headers],0))</f>
        <v>1</v>
      </c>
      <c r="AK3" s="290">
        <f>VLOOKUP($AV$2,AVAILABLE_Upgrades_Normal_Troops[#All],MATCH(AK$2,AVAILABLE_Upgrades_Normal_Troops[#Headers],0))</f>
        <v>1</v>
      </c>
      <c r="AL3" s="290">
        <f>VLOOKUP($AV$2,AVAILABLE_Upgrades_Normal_Troops[#All],MATCH(AL$2,AVAILABLE_Upgrades_Normal_Troops[#Headers],0))</f>
        <v>1</v>
      </c>
      <c r="AM3" s="291">
        <f>VLOOKUP($AV$2,AVAILABLE_Upgrades_Normal_Troops[#All],MATCH(AM$2,AVAILABLE_Upgrades_Normal_Troops[#Headers],0))</f>
        <v>0</v>
      </c>
      <c r="AN3" s="289">
        <f>VLOOKUP($AV$2,AVAILABLE_Upgrades_Dark_Troops[#All],MATCH(AN$2,AVAILABLE_Upgrades_Dark_Troops[#Headers],0))</f>
        <v>1</v>
      </c>
      <c r="AO3" s="290">
        <f>VLOOKUP($AV$2,AVAILABLE_Upgrades_Dark_Troops[#All],MATCH(AO$2,AVAILABLE_Upgrades_Dark_Troops[#Headers],0))</f>
        <v>1</v>
      </c>
      <c r="AP3" s="290">
        <f>VLOOKUP($AV$2,AVAILABLE_Upgrades_Dark_Troops[#All],MATCH(AP$2,AVAILABLE_Upgrades_Dark_Troops[#Headers],0))</f>
        <v>0</v>
      </c>
      <c r="AQ3" s="291">
        <f>VLOOKUP($AV$2,AVAILABLE_Upgrades_Dark_Troops[#All],MATCH(AQ$2,AVAILABLE_Upgrades_Dark_Troops[#Headers],0))</f>
        <v>0</v>
      </c>
      <c r="AR3" s="292"/>
      <c r="AS3" s="289">
        <f>VLOOKUP($AV$2,AVAILABLE_Heroes[#All],MATCH(AS$2,AVAILABLE_Heroes[#Headers],0))</f>
        <v>1</v>
      </c>
      <c r="AT3" s="291">
        <f>VLOOKUP($AV$2,AVAILABLE_Heroes[#All],MATCH(AT$2,AVAILABLE_Heroes[#Headers],0))</f>
        <v>0</v>
      </c>
      <c r="AX3" s="304">
        <f>AX2+1</f>
        <v>1</v>
      </c>
    </row>
    <row r="4" spans="1:50" ht="15.75" customHeight="1" thickBot="1" x14ac:dyDescent="0.3">
      <c r="A4" s="283" t="s">
        <v>72</v>
      </c>
      <c r="B4" s="297">
        <f>B3-B45</f>
        <v>0</v>
      </c>
      <c r="C4" s="299">
        <f t="shared" ref="C4:H4" si="0">C3-C45</f>
        <v>0</v>
      </c>
      <c r="D4" s="299">
        <f t="shared" si="0"/>
        <v>0</v>
      </c>
      <c r="E4" s="299">
        <f t="shared" si="0"/>
        <v>0</v>
      </c>
      <c r="F4" s="299">
        <f t="shared" si="0"/>
        <v>0</v>
      </c>
      <c r="G4" s="298">
        <f t="shared" si="0"/>
        <v>0</v>
      </c>
      <c r="H4" s="297">
        <f t="shared" si="0"/>
        <v>0</v>
      </c>
      <c r="I4" s="299">
        <f t="shared" ref="I4" si="1">I3-I45</f>
        <v>1</v>
      </c>
      <c r="J4" s="299">
        <f t="shared" ref="J4" si="2">J3-J45</f>
        <v>0</v>
      </c>
      <c r="K4" s="299">
        <f t="shared" ref="K4" si="3">K3-K45</f>
        <v>0</v>
      </c>
      <c r="L4" s="298">
        <f t="shared" ref="L4" si="4">L3-L45</f>
        <v>0</v>
      </c>
      <c r="M4" s="297">
        <f t="shared" ref="M4:N4" si="5">M3-M45</f>
        <v>0</v>
      </c>
      <c r="N4" s="299">
        <f t="shared" si="5"/>
        <v>0</v>
      </c>
      <c r="O4" s="299">
        <f t="shared" ref="O4" si="6">O3-O45</f>
        <v>0</v>
      </c>
      <c r="P4" s="299">
        <f t="shared" ref="P4" si="7">P3-P45</f>
        <v>0</v>
      </c>
      <c r="Q4" s="299">
        <f t="shared" ref="Q4" si="8">Q3-Q45</f>
        <v>0</v>
      </c>
      <c r="R4" s="299">
        <f t="shared" ref="R4" si="9">R3-R45</f>
        <v>0</v>
      </c>
      <c r="S4" s="299">
        <f t="shared" ref="S4:T4" si="10">S3-S45</f>
        <v>0</v>
      </c>
      <c r="T4" s="299">
        <f t="shared" si="10"/>
        <v>0</v>
      </c>
      <c r="U4" s="298">
        <f t="shared" ref="U4" si="11">U3-U45</f>
        <v>0</v>
      </c>
      <c r="V4" s="297">
        <f t="shared" ref="V4" si="12">V3-V45</f>
        <v>0</v>
      </c>
      <c r="W4" s="298">
        <f t="shared" ref="W4" si="13">W3-W45</f>
        <v>0</v>
      </c>
      <c r="X4" s="296"/>
      <c r="Y4" s="297">
        <f t="shared" ref="Y4:Z4" si="14">Y3-Y45</f>
        <v>0</v>
      </c>
      <c r="Z4" s="299">
        <f t="shared" si="14"/>
        <v>0</v>
      </c>
      <c r="AA4" s="299">
        <f t="shared" ref="AA4" si="15">AA3-AA45</f>
        <v>0</v>
      </c>
      <c r="AB4" s="299">
        <f t="shared" ref="AB4" si="16">AB3-AB45</f>
        <v>0</v>
      </c>
      <c r="AC4" s="298">
        <f t="shared" ref="AC4" si="17">AC3-AC45</f>
        <v>0</v>
      </c>
      <c r="AD4" s="297">
        <f t="shared" ref="AD4" si="18">AD3-AD45</f>
        <v>0</v>
      </c>
      <c r="AE4" s="299">
        <f t="shared" ref="AE4:AF4" si="19">AE3-AE45</f>
        <v>0</v>
      </c>
      <c r="AF4" s="299">
        <f t="shared" si="19"/>
        <v>0</v>
      </c>
      <c r="AG4" s="299">
        <f t="shared" ref="AG4" si="20">AG3-AG45</f>
        <v>0</v>
      </c>
      <c r="AH4" s="299">
        <f t="shared" ref="AH4" si="21">AH3-AH45</f>
        <v>0</v>
      </c>
      <c r="AI4" s="299">
        <f t="shared" ref="AI4" si="22">AI3-AI45</f>
        <v>0</v>
      </c>
      <c r="AJ4" s="299">
        <f t="shared" ref="AJ4" si="23">AJ3-AJ45</f>
        <v>0</v>
      </c>
      <c r="AK4" s="299">
        <f t="shared" ref="AK4:AL4" si="24">AK3-AK45</f>
        <v>0</v>
      </c>
      <c r="AL4" s="299">
        <f t="shared" si="24"/>
        <v>0</v>
      </c>
      <c r="AM4" s="298">
        <f t="shared" ref="AM4" si="25">AM3-AM45</f>
        <v>0</v>
      </c>
      <c r="AN4" s="297">
        <f t="shared" ref="AN4" si="26">AN3-AN45</f>
        <v>1</v>
      </c>
      <c r="AO4" s="299">
        <f t="shared" ref="AO4" si="27">AO3-AO45</f>
        <v>1</v>
      </c>
      <c r="AP4" s="299">
        <f t="shared" ref="AP4" si="28">AP3-AP45</f>
        <v>0</v>
      </c>
      <c r="AQ4" s="298">
        <f t="shared" ref="AQ4" si="29">AQ3-AQ45</f>
        <v>0</v>
      </c>
      <c r="AR4" s="296"/>
      <c r="AS4" s="297">
        <f t="shared" ref="AS4" si="30">AS3-AS45</f>
        <v>1</v>
      </c>
      <c r="AT4" s="298">
        <f t="shared" ref="AT4" si="31">AT3-AT45</f>
        <v>0</v>
      </c>
      <c r="AX4" s="304">
        <f t="shared" ref="AX4:AX41" si="32">AX3+1</f>
        <v>2</v>
      </c>
    </row>
    <row r="5" spans="1:50" ht="11.1" customHeight="1" x14ac:dyDescent="0.25">
      <c r="A5" s="222">
        <v>1</v>
      </c>
      <c r="B5" s="392"/>
      <c r="C5" s="393"/>
      <c r="D5" s="393"/>
      <c r="E5" s="393"/>
      <c r="F5" s="393"/>
      <c r="G5" s="394">
        <v>1</v>
      </c>
      <c r="H5" s="392"/>
      <c r="I5" s="393"/>
      <c r="J5" s="393"/>
      <c r="K5" s="393"/>
      <c r="L5" s="394"/>
      <c r="M5" s="392"/>
      <c r="N5" s="393"/>
      <c r="O5" s="393"/>
      <c r="P5" s="393"/>
      <c r="Q5" s="393"/>
      <c r="R5" s="393"/>
      <c r="S5" s="393">
        <v>2</v>
      </c>
      <c r="T5" s="393"/>
      <c r="U5" s="394"/>
      <c r="V5" s="392"/>
      <c r="W5" s="394"/>
      <c r="X5" s="395"/>
      <c r="Y5" s="392"/>
      <c r="Z5" s="393"/>
      <c r="AA5" s="393">
        <v>1</v>
      </c>
      <c r="AB5" s="393"/>
      <c r="AC5" s="394"/>
      <c r="AD5" s="392"/>
      <c r="AE5" s="393"/>
      <c r="AF5" s="393"/>
      <c r="AG5" s="393"/>
      <c r="AH5" s="393"/>
      <c r="AI5" s="393"/>
      <c r="AJ5" s="393"/>
      <c r="AK5" s="393"/>
      <c r="AL5" s="393">
        <v>1</v>
      </c>
      <c r="AM5" s="394"/>
      <c r="AN5" s="392"/>
      <c r="AO5" s="393"/>
      <c r="AP5" s="393"/>
      <c r="AQ5" s="394"/>
      <c r="AR5" s="396"/>
      <c r="AS5" s="392"/>
      <c r="AT5" s="394"/>
      <c r="AV5" s="576" t="s">
        <v>64</v>
      </c>
      <c r="AW5" s="579" t="s">
        <v>65</v>
      </c>
      <c r="AX5" s="304">
        <f t="shared" si="32"/>
        <v>3</v>
      </c>
    </row>
    <row r="6" spans="1:50" ht="11.1" customHeight="1" x14ac:dyDescent="0.25">
      <c r="A6" s="214">
        <v>2</v>
      </c>
      <c r="B6" s="386"/>
      <c r="C6" s="387"/>
      <c r="D6" s="387"/>
      <c r="E6" s="387"/>
      <c r="F6" s="387"/>
      <c r="G6" s="388"/>
      <c r="H6" s="386"/>
      <c r="I6" s="387"/>
      <c r="J6" s="387"/>
      <c r="K6" s="387"/>
      <c r="L6" s="388"/>
      <c r="M6" s="386"/>
      <c r="N6" s="387"/>
      <c r="O6" s="387"/>
      <c r="P6" s="387"/>
      <c r="Q6" s="387"/>
      <c r="R6" s="387"/>
      <c r="S6" s="387"/>
      <c r="T6" s="387"/>
      <c r="U6" s="388"/>
      <c r="V6" s="386"/>
      <c r="W6" s="388"/>
      <c r="X6" s="397"/>
      <c r="Y6" s="386"/>
      <c r="Z6" s="387"/>
      <c r="AA6" s="387"/>
      <c r="AB6" s="387"/>
      <c r="AC6" s="388"/>
      <c r="AD6" s="386"/>
      <c r="AE6" s="387"/>
      <c r="AF6" s="387"/>
      <c r="AG6" s="387"/>
      <c r="AH6" s="387"/>
      <c r="AI6" s="387">
        <v>1</v>
      </c>
      <c r="AJ6" s="387"/>
      <c r="AK6" s="387">
        <v>1</v>
      </c>
      <c r="AL6" s="387"/>
      <c r="AM6" s="388"/>
      <c r="AN6" s="386"/>
      <c r="AO6" s="387"/>
      <c r="AP6" s="387"/>
      <c r="AQ6" s="388"/>
      <c r="AR6" s="398"/>
      <c r="AS6" s="386"/>
      <c r="AT6" s="388"/>
      <c r="AV6" s="577"/>
      <c r="AW6" s="580"/>
      <c r="AX6" s="304">
        <f t="shared" si="32"/>
        <v>4</v>
      </c>
    </row>
    <row r="7" spans="1:50" ht="11.1" customHeight="1" thickBot="1" x14ac:dyDescent="0.3">
      <c r="A7" s="214">
        <v>3</v>
      </c>
      <c r="B7" s="386"/>
      <c r="C7" s="387"/>
      <c r="D7" s="387"/>
      <c r="E7" s="387"/>
      <c r="F7" s="387"/>
      <c r="G7" s="388"/>
      <c r="H7" s="386"/>
      <c r="I7" s="387"/>
      <c r="J7" s="387"/>
      <c r="K7" s="387"/>
      <c r="L7" s="388">
        <v>1</v>
      </c>
      <c r="M7" s="386"/>
      <c r="N7" s="387"/>
      <c r="O7" s="387"/>
      <c r="P7" s="387"/>
      <c r="Q7" s="387"/>
      <c r="R7" s="387"/>
      <c r="S7" s="387"/>
      <c r="T7" s="387"/>
      <c r="U7" s="388"/>
      <c r="V7" s="386">
        <v>1</v>
      </c>
      <c r="W7" s="388"/>
      <c r="X7" s="397"/>
      <c r="Y7" s="386"/>
      <c r="Z7" s="387">
        <v>1</v>
      </c>
      <c r="AA7" s="387"/>
      <c r="AB7" s="387"/>
      <c r="AC7" s="388"/>
      <c r="AD7" s="386"/>
      <c r="AE7" s="387"/>
      <c r="AF7" s="387">
        <v>1</v>
      </c>
      <c r="AG7" s="387"/>
      <c r="AH7" s="387"/>
      <c r="AI7" s="387"/>
      <c r="AJ7" s="387">
        <v>1</v>
      </c>
      <c r="AK7" s="387"/>
      <c r="AL7" s="387"/>
      <c r="AM7" s="388"/>
      <c r="AN7" s="386"/>
      <c r="AO7" s="387"/>
      <c r="AP7" s="387"/>
      <c r="AQ7" s="388"/>
      <c r="AR7" s="398"/>
      <c r="AS7" s="386"/>
      <c r="AT7" s="388"/>
      <c r="AV7" s="578"/>
      <c r="AW7" s="581"/>
      <c r="AX7" s="304">
        <f t="shared" si="32"/>
        <v>5</v>
      </c>
    </row>
    <row r="8" spans="1:50" ht="11.1" customHeight="1" thickBot="1" x14ac:dyDescent="0.3">
      <c r="A8" s="214">
        <v>4</v>
      </c>
      <c r="B8" s="386"/>
      <c r="C8" s="387"/>
      <c r="D8" s="387"/>
      <c r="E8" s="387"/>
      <c r="F8" s="387"/>
      <c r="G8" s="388"/>
      <c r="H8" s="386"/>
      <c r="I8" s="387"/>
      <c r="J8" s="387"/>
      <c r="K8" s="387"/>
      <c r="L8" s="388"/>
      <c r="M8" s="386"/>
      <c r="N8" s="387"/>
      <c r="O8" s="387"/>
      <c r="P8" s="387">
        <v>1</v>
      </c>
      <c r="Q8" s="387">
        <v>2</v>
      </c>
      <c r="R8" s="387">
        <v>2</v>
      </c>
      <c r="S8" s="387"/>
      <c r="T8" s="387"/>
      <c r="U8" s="388"/>
      <c r="V8" s="386"/>
      <c r="W8" s="388"/>
      <c r="X8" s="397"/>
      <c r="Y8" s="386">
        <v>1</v>
      </c>
      <c r="Z8" s="387"/>
      <c r="AA8" s="387"/>
      <c r="AB8" s="387"/>
      <c r="AC8" s="388"/>
      <c r="AD8" s="386">
        <v>1</v>
      </c>
      <c r="AE8" s="387">
        <v>1</v>
      </c>
      <c r="AF8" s="387"/>
      <c r="AG8" s="387">
        <v>1</v>
      </c>
      <c r="AH8" s="387">
        <v>1</v>
      </c>
      <c r="AI8" s="387"/>
      <c r="AJ8" s="387"/>
      <c r="AK8" s="387"/>
      <c r="AL8" s="387"/>
      <c r="AM8" s="388"/>
      <c r="AN8" s="386"/>
      <c r="AO8" s="387"/>
      <c r="AP8" s="387"/>
      <c r="AQ8" s="388"/>
      <c r="AR8" s="398"/>
      <c r="AS8" s="386"/>
      <c r="AT8" s="388"/>
      <c r="AV8" s="305"/>
      <c r="AW8" s="306"/>
      <c r="AX8" s="304">
        <f t="shared" si="32"/>
        <v>6</v>
      </c>
    </row>
    <row r="9" spans="1:50" ht="11.1" customHeight="1" x14ac:dyDescent="0.25">
      <c r="A9" s="214">
        <v>5</v>
      </c>
      <c r="B9" s="386"/>
      <c r="C9" s="387"/>
      <c r="D9" s="387"/>
      <c r="E9" s="387"/>
      <c r="F9" s="387"/>
      <c r="G9" s="388"/>
      <c r="H9" s="386"/>
      <c r="I9" s="387"/>
      <c r="J9" s="387"/>
      <c r="K9" s="387">
        <v>1</v>
      </c>
      <c r="L9" s="388"/>
      <c r="M9" s="386">
        <v>20</v>
      </c>
      <c r="N9" s="387"/>
      <c r="O9" s="387"/>
      <c r="P9" s="387">
        <v>2</v>
      </c>
      <c r="Q9" s="387"/>
      <c r="R9" s="387"/>
      <c r="S9" s="387"/>
      <c r="T9" s="387"/>
      <c r="U9" s="388"/>
      <c r="V9" s="386"/>
      <c r="W9" s="388"/>
      <c r="X9" s="397"/>
      <c r="Y9" s="386"/>
      <c r="Z9" s="387"/>
      <c r="AA9" s="387"/>
      <c r="AB9" s="387"/>
      <c r="AC9" s="388"/>
      <c r="AD9" s="386"/>
      <c r="AE9" s="387"/>
      <c r="AF9" s="387"/>
      <c r="AG9" s="387"/>
      <c r="AH9" s="387"/>
      <c r="AI9" s="387"/>
      <c r="AJ9" s="387"/>
      <c r="AK9" s="387"/>
      <c r="AL9" s="387"/>
      <c r="AM9" s="388"/>
      <c r="AN9" s="386"/>
      <c r="AO9" s="387"/>
      <c r="AP9" s="387"/>
      <c r="AQ9" s="388"/>
      <c r="AR9" s="398"/>
      <c r="AS9" s="386"/>
      <c r="AT9" s="388"/>
      <c r="AV9" s="570" t="s">
        <v>66</v>
      </c>
      <c r="AW9" s="573" t="s">
        <v>67</v>
      </c>
      <c r="AX9" s="304">
        <f t="shared" si="32"/>
        <v>7</v>
      </c>
    </row>
    <row r="10" spans="1:50" ht="11.1" customHeight="1" x14ac:dyDescent="0.25">
      <c r="A10" s="214">
        <v>6</v>
      </c>
      <c r="B10" s="386"/>
      <c r="C10" s="387"/>
      <c r="D10" s="387"/>
      <c r="E10" s="387"/>
      <c r="F10" s="387"/>
      <c r="G10" s="388"/>
      <c r="H10" s="386"/>
      <c r="I10" s="387"/>
      <c r="J10" s="387">
        <v>4</v>
      </c>
      <c r="K10" s="387"/>
      <c r="L10" s="388"/>
      <c r="M10" s="386">
        <v>155</v>
      </c>
      <c r="N10" s="387"/>
      <c r="O10" s="387"/>
      <c r="P10" s="387"/>
      <c r="Q10" s="387"/>
      <c r="R10" s="387"/>
      <c r="S10" s="387"/>
      <c r="T10" s="387"/>
      <c r="U10" s="388"/>
      <c r="V10" s="386"/>
      <c r="W10" s="388"/>
      <c r="X10" s="397"/>
      <c r="Y10" s="386"/>
      <c r="Z10" s="387"/>
      <c r="AA10" s="387"/>
      <c r="AB10" s="387"/>
      <c r="AC10" s="388"/>
      <c r="AD10" s="386"/>
      <c r="AE10" s="387"/>
      <c r="AF10" s="387"/>
      <c r="AG10" s="387"/>
      <c r="AH10" s="387"/>
      <c r="AI10" s="387"/>
      <c r="AJ10" s="387"/>
      <c r="AK10" s="387"/>
      <c r="AL10" s="387"/>
      <c r="AM10" s="388"/>
      <c r="AN10" s="386"/>
      <c r="AO10" s="387"/>
      <c r="AP10" s="387"/>
      <c r="AQ10" s="388"/>
      <c r="AR10" s="398"/>
      <c r="AS10" s="386"/>
      <c r="AT10" s="388"/>
      <c r="AV10" s="571"/>
      <c r="AW10" s="574"/>
      <c r="AX10" s="304">
        <f t="shared" si="32"/>
        <v>8</v>
      </c>
    </row>
    <row r="11" spans="1:50" ht="11.1" customHeight="1" thickBot="1" x14ac:dyDescent="0.3">
      <c r="A11" s="214">
        <v>7</v>
      </c>
      <c r="B11" s="386"/>
      <c r="C11" s="387"/>
      <c r="D11" s="387"/>
      <c r="E11" s="387"/>
      <c r="F11" s="387"/>
      <c r="G11" s="388"/>
      <c r="H11" s="386">
        <v>1</v>
      </c>
      <c r="I11" s="387"/>
      <c r="J11" s="387"/>
      <c r="K11" s="387"/>
      <c r="L11" s="388"/>
      <c r="M11" s="386"/>
      <c r="N11" s="387"/>
      <c r="O11" s="387"/>
      <c r="P11" s="387"/>
      <c r="Q11" s="387"/>
      <c r="R11" s="387"/>
      <c r="S11" s="387"/>
      <c r="T11" s="387"/>
      <c r="U11" s="388"/>
      <c r="V11" s="386"/>
      <c r="W11" s="388">
        <v>1</v>
      </c>
      <c r="X11" s="397"/>
      <c r="Y11" s="386"/>
      <c r="Z11" s="387"/>
      <c r="AA11" s="387"/>
      <c r="AB11" s="387"/>
      <c r="AC11" s="388"/>
      <c r="AD11" s="386"/>
      <c r="AE11" s="387"/>
      <c r="AF11" s="387"/>
      <c r="AG11" s="387"/>
      <c r="AH11" s="387"/>
      <c r="AI11" s="387"/>
      <c r="AJ11" s="387"/>
      <c r="AK11" s="387"/>
      <c r="AL11" s="387"/>
      <c r="AM11" s="388"/>
      <c r="AN11" s="386"/>
      <c r="AO11" s="387"/>
      <c r="AP11" s="387"/>
      <c r="AQ11" s="388"/>
      <c r="AR11" s="398"/>
      <c r="AS11" s="386"/>
      <c r="AT11" s="388"/>
      <c r="AV11" s="572"/>
      <c r="AW11" s="575"/>
      <c r="AX11" s="304">
        <f t="shared" si="32"/>
        <v>9</v>
      </c>
    </row>
    <row r="12" spans="1:50" ht="11.1" customHeight="1" thickBot="1" x14ac:dyDescent="0.3">
      <c r="A12" s="214">
        <v>8</v>
      </c>
      <c r="B12" s="386"/>
      <c r="C12" s="387"/>
      <c r="D12" s="387"/>
      <c r="E12" s="387"/>
      <c r="F12" s="387"/>
      <c r="G12" s="388"/>
      <c r="H12" s="386">
        <v>2</v>
      </c>
      <c r="I12" s="387"/>
      <c r="J12" s="387"/>
      <c r="K12" s="387"/>
      <c r="L12" s="388"/>
      <c r="M12" s="386"/>
      <c r="N12" s="387">
        <v>5</v>
      </c>
      <c r="O12" s="387">
        <v>4</v>
      </c>
      <c r="P12" s="387"/>
      <c r="Q12" s="387"/>
      <c r="R12" s="387"/>
      <c r="S12" s="387"/>
      <c r="T12" s="387"/>
      <c r="U12" s="388"/>
      <c r="V12" s="386"/>
      <c r="W12" s="388"/>
      <c r="X12" s="397"/>
      <c r="Y12" s="386"/>
      <c r="Z12" s="387"/>
      <c r="AA12" s="387"/>
      <c r="AB12" s="387"/>
      <c r="AC12" s="388"/>
      <c r="AD12" s="386"/>
      <c r="AE12" s="387"/>
      <c r="AF12" s="387"/>
      <c r="AG12" s="387"/>
      <c r="AH12" s="387"/>
      <c r="AI12" s="387"/>
      <c r="AJ12" s="387"/>
      <c r="AK12" s="387"/>
      <c r="AL12" s="387"/>
      <c r="AM12" s="388"/>
      <c r="AN12" s="386"/>
      <c r="AO12" s="387"/>
      <c r="AP12" s="387"/>
      <c r="AQ12" s="388"/>
      <c r="AR12" s="398"/>
      <c r="AS12" s="386"/>
      <c r="AT12" s="388"/>
      <c r="AX12" s="304">
        <f t="shared" si="32"/>
        <v>10</v>
      </c>
    </row>
    <row r="13" spans="1:50" ht="11.1" customHeight="1" x14ac:dyDescent="0.25">
      <c r="A13" s="214">
        <v>9</v>
      </c>
      <c r="B13" s="386"/>
      <c r="C13" s="387">
        <v>4</v>
      </c>
      <c r="D13" s="387"/>
      <c r="E13" s="387"/>
      <c r="F13" s="387"/>
      <c r="G13" s="388"/>
      <c r="H13" s="386">
        <v>1</v>
      </c>
      <c r="I13" s="387"/>
      <c r="J13" s="387"/>
      <c r="K13" s="387"/>
      <c r="L13" s="388"/>
      <c r="M13" s="386"/>
      <c r="N13" s="387"/>
      <c r="O13" s="387"/>
      <c r="P13" s="387"/>
      <c r="Q13" s="387"/>
      <c r="R13" s="387"/>
      <c r="S13" s="387"/>
      <c r="T13" s="387"/>
      <c r="U13" s="388"/>
      <c r="V13" s="386"/>
      <c r="W13" s="388"/>
      <c r="X13" s="397"/>
      <c r="Y13" s="386"/>
      <c r="Z13" s="387"/>
      <c r="AA13" s="387"/>
      <c r="AB13" s="387"/>
      <c r="AC13" s="388"/>
      <c r="AD13" s="386"/>
      <c r="AE13" s="387"/>
      <c r="AF13" s="387"/>
      <c r="AG13" s="387"/>
      <c r="AH13" s="387"/>
      <c r="AI13" s="387"/>
      <c r="AJ13" s="387"/>
      <c r="AK13" s="387"/>
      <c r="AL13" s="387"/>
      <c r="AM13" s="388"/>
      <c r="AN13" s="386"/>
      <c r="AO13" s="387"/>
      <c r="AP13" s="387"/>
      <c r="AQ13" s="388"/>
      <c r="AR13" s="398"/>
      <c r="AS13" s="386"/>
      <c r="AT13" s="388"/>
      <c r="AV13" s="564" t="s">
        <v>68</v>
      </c>
      <c r="AW13" s="565"/>
      <c r="AX13" s="304">
        <f t="shared" si="32"/>
        <v>11</v>
      </c>
    </row>
    <row r="14" spans="1:50" ht="11.1" customHeight="1" x14ac:dyDescent="0.25">
      <c r="A14" s="214">
        <v>10</v>
      </c>
      <c r="B14" s="386"/>
      <c r="C14" s="387">
        <v>2</v>
      </c>
      <c r="D14" s="387"/>
      <c r="E14" s="387">
        <v>1</v>
      </c>
      <c r="F14" s="387">
        <v>1</v>
      </c>
      <c r="G14" s="388"/>
      <c r="H14" s="386"/>
      <c r="I14" s="387"/>
      <c r="J14" s="387"/>
      <c r="K14" s="387"/>
      <c r="L14" s="388"/>
      <c r="M14" s="386"/>
      <c r="N14" s="387"/>
      <c r="O14" s="387"/>
      <c r="P14" s="387"/>
      <c r="Q14" s="387"/>
      <c r="R14" s="387"/>
      <c r="S14" s="387"/>
      <c r="T14" s="387"/>
      <c r="U14" s="388"/>
      <c r="V14" s="386"/>
      <c r="W14" s="388"/>
      <c r="X14" s="397"/>
      <c r="Y14" s="386"/>
      <c r="Z14" s="387"/>
      <c r="AA14" s="387"/>
      <c r="AB14" s="387"/>
      <c r="AC14" s="388"/>
      <c r="AD14" s="386"/>
      <c r="AE14" s="387"/>
      <c r="AF14" s="387"/>
      <c r="AG14" s="387"/>
      <c r="AH14" s="387"/>
      <c r="AI14" s="387"/>
      <c r="AJ14" s="387"/>
      <c r="AK14" s="387"/>
      <c r="AL14" s="387"/>
      <c r="AM14" s="388"/>
      <c r="AN14" s="386"/>
      <c r="AO14" s="387"/>
      <c r="AP14" s="387"/>
      <c r="AQ14" s="388"/>
      <c r="AR14" s="398"/>
      <c r="AS14" s="386"/>
      <c r="AT14" s="388"/>
      <c r="AV14" s="566"/>
      <c r="AW14" s="567"/>
      <c r="AX14" s="304">
        <f t="shared" si="32"/>
        <v>12</v>
      </c>
    </row>
    <row r="15" spans="1:50" ht="11.1" customHeight="1" x14ac:dyDescent="0.25">
      <c r="A15" s="214">
        <v>11</v>
      </c>
      <c r="B15" s="386">
        <v>6</v>
      </c>
      <c r="C15" s="387"/>
      <c r="D15" s="387"/>
      <c r="E15" s="387">
        <v>1</v>
      </c>
      <c r="F15" s="387">
        <v>1</v>
      </c>
      <c r="G15" s="388"/>
      <c r="H15" s="386"/>
      <c r="I15" s="387"/>
      <c r="J15" s="387"/>
      <c r="K15" s="387"/>
      <c r="L15" s="388"/>
      <c r="M15" s="386"/>
      <c r="N15" s="387"/>
      <c r="O15" s="387"/>
      <c r="P15" s="387"/>
      <c r="Q15" s="387"/>
      <c r="R15" s="387"/>
      <c r="S15" s="387"/>
      <c r="T15" s="387"/>
      <c r="U15" s="388"/>
      <c r="V15" s="386"/>
      <c r="W15" s="388"/>
      <c r="X15" s="397"/>
      <c r="Y15" s="386"/>
      <c r="Z15" s="387"/>
      <c r="AA15" s="387"/>
      <c r="AB15" s="387"/>
      <c r="AC15" s="388"/>
      <c r="AD15" s="386"/>
      <c r="AE15" s="387"/>
      <c r="AF15" s="387"/>
      <c r="AG15" s="387"/>
      <c r="AH15" s="387"/>
      <c r="AI15" s="387"/>
      <c r="AJ15" s="387"/>
      <c r="AK15" s="387"/>
      <c r="AL15" s="387"/>
      <c r="AM15" s="388"/>
      <c r="AN15" s="386"/>
      <c r="AO15" s="387"/>
      <c r="AP15" s="387"/>
      <c r="AQ15" s="388"/>
      <c r="AR15" s="398"/>
      <c r="AS15" s="386"/>
      <c r="AT15" s="388"/>
      <c r="AV15" s="566"/>
      <c r="AW15" s="567"/>
      <c r="AX15" s="304">
        <f t="shared" si="32"/>
        <v>13</v>
      </c>
    </row>
    <row r="16" spans="1:50" ht="11.1" customHeight="1" x14ac:dyDescent="0.25">
      <c r="A16" s="214">
        <v>12</v>
      </c>
      <c r="B16" s="386"/>
      <c r="C16" s="387"/>
      <c r="D16" s="387"/>
      <c r="E16" s="387"/>
      <c r="F16" s="387"/>
      <c r="G16" s="388"/>
      <c r="H16" s="386"/>
      <c r="I16" s="387"/>
      <c r="J16" s="387"/>
      <c r="K16" s="387"/>
      <c r="L16" s="388"/>
      <c r="M16" s="386"/>
      <c r="N16" s="387"/>
      <c r="O16" s="387"/>
      <c r="P16" s="387"/>
      <c r="Q16" s="387"/>
      <c r="R16" s="387"/>
      <c r="S16" s="387"/>
      <c r="T16" s="387"/>
      <c r="U16" s="388"/>
      <c r="V16" s="386"/>
      <c r="W16" s="388"/>
      <c r="X16" s="397"/>
      <c r="Y16" s="386"/>
      <c r="Z16" s="387"/>
      <c r="AA16" s="387"/>
      <c r="AB16" s="387"/>
      <c r="AC16" s="388"/>
      <c r="AD16" s="386"/>
      <c r="AE16" s="387"/>
      <c r="AF16" s="387"/>
      <c r="AG16" s="387"/>
      <c r="AH16" s="387"/>
      <c r="AI16" s="387"/>
      <c r="AJ16" s="387"/>
      <c r="AK16" s="387"/>
      <c r="AL16" s="387"/>
      <c r="AM16" s="388"/>
      <c r="AN16" s="386"/>
      <c r="AO16" s="387"/>
      <c r="AP16" s="387"/>
      <c r="AQ16" s="388"/>
      <c r="AR16" s="398"/>
      <c r="AS16" s="386"/>
      <c r="AT16" s="388"/>
      <c r="AV16" s="566"/>
      <c r="AW16" s="567"/>
      <c r="AX16" s="304">
        <f t="shared" si="32"/>
        <v>14</v>
      </c>
    </row>
    <row r="17" spans="1:50" ht="11.1" customHeight="1" x14ac:dyDescent="0.25">
      <c r="A17" s="214">
        <v>13</v>
      </c>
      <c r="B17" s="386"/>
      <c r="C17" s="387"/>
      <c r="D17" s="387"/>
      <c r="E17" s="387"/>
      <c r="F17" s="387"/>
      <c r="G17" s="388"/>
      <c r="H17" s="386"/>
      <c r="I17" s="387"/>
      <c r="J17" s="387"/>
      <c r="K17" s="387"/>
      <c r="L17" s="388"/>
      <c r="M17" s="386"/>
      <c r="N17" s="387"/>
      <c r="O17" s="387"/>
      <c r="P17" s="387"/>
      <c r="Q17" s="387"/>
      <c r="R17" s="387"/>
      <c r="S17" s="387"/>
      <c r="T17" s="387"/>
      <c r="U17" s="388"/>
      <c r="V17" s="386"/>
      <c r="W17" s="388"/>
      <c r="X17" s="397"/>
      <c r="Y17" s="386"/>
      <c r="Z17" s="387"/>
      <c r="AA17" s="387"/>
      <c r="AB17" s="387"/>
      <c r="AC17" s="388"/>
      <c r="AD17" s="386"/>
      <c r="AE17" s="387"/>
      <c r="AF17" s="387"/>
      <c r="AG17" s="387"/>
      <c r="AH17" s="387"/>
      <c r="AI17" s="387"/>
      <c r="AJ17" s="387"/>
      <c r="AK17" s="387"/>
      <c r="AL17" s="387"/>
      <c r="AM17" s="388"/>
      <c r="AN17" s="386"/>
      <c r="AO17" s="387"/>
      <c r="AP17" s="387"/>
      <c r="AQ17" s="388"/>
      <c r="AR17" s="398"/>
      <c r="AS17" s="386"/>
      <c r="AT17" s="388"/>
      <c r="AV17" s="566"/>
      <c r="AW17" s="567"/>
      <c r="AX17" s="304">
        <f t="shared" si="32"/>
        <v>15</v>
      </c>
    </row>
    <row r="18" spans="1:50" ht="11.1" customHeight="1" x14ac:dyDescent="0.25">
      <c r="A18" s="214">
        <v>14</v>
      </c>
      <c r="B18" s="386"/>
      <c r="C18" s="387"/>
      <c r="D18" s="387"/>
      <c r="E18" s="387"/>
      <c r="F18" s="387"/>
      <c r="G18" s="388"/>
      <c r="H18" s="386"/>
      <c r="I18" s="387"/>
      <c r="J18" s="387"/>
      <c r="K18" s="387"/>
      <c r="L18" s="388"/>
      <c r="M18" s="386"/>
      <c r="N18" s="387"/>
      <c r="O18" s="387"/>
      <c r="P18" s="387"/>
      <c r="Q18" s="387"/>
      <c r="R18" s="387"/>
      <c r="S18" s="387"/>
      <c r="T18" s="387"/>
      <c r="U18" s="388"/>
      <c r="V18" s="386"/>
      <c r="W18" s="388"/>
      <c r="X18" s="397"/>
      <c r="Y18" s="386"/>
      <c r="Z18" s="387"/>
      <c r="AA18" s="387"/>
      <c r="AB18" s="387"/>
      <c r="AC18" s="388"/>
      <c r="AD18" s="386"/>
      <c r="AE18" s="387"/>
      <c r="AF18" s="387"/>
      <c r="AG18" s="387"/>
      <c r="AH18" s="387"/>
      <c r="AI18" s="387"/>
      <c r="AJ18" s="387"/>
      <c r="AK18" s="387"/>
      <c r="AL18" s="387"/>
      <c r="AM18" s="388"/>
      <c r="AN18" s="386"/>
      <c r="AO18" s="387"/>
      <c r="AP18" s="387"/>
      <c r="AQ18" s="388"/>
      <c r="AR18" s="398"/>
      <c r="AS18" s="386"/>
      <c r="AT18" s="388"/>
      <c r="AV18" s="566"/>
      <c r="AW18" s="567"/>
      <c r="AX18" s="304">
        <f t="shared" si="32"/>
        <v>16</v>
      </c>
    </row>
    <row r="19" spans="1:50" ht="11.1" customHeight="1" x14ac:dyDescent="0.25">
      <c r="A19" s="214">
        <v>15</v>
      </c>
      <c r="B19" s="386"/>
      <c r="C19" s="387"/>
      <c r="D19" s="387"/>
      <c r="E19" s="387"/>
      <c r="F19" s="387"/>
      <c r="G19" s="388"/>
      <c r="H19" s="386"/>
      <c r="I19" s="387"/>
      <c r="J19" s="387"/>
      <c r="K19" s="387"/>
      <c r="L19" s="388"/>
      <c r="M19" s="386"/>
      <c r="N19" s="387"/>
      <c r="O19" s="387"/>
      <c r="P19" s="387"/>
      <c r="Q19" s="387"/>
      <c r="R19" s="387"/>
      <c r="S19" s="387"/>
      <c r="T19" s="387"/>
      <c r="U19" s="388"/>
      <c r="V19" s="386"/>
      <c r="W19" s="388"/>
      <c r="X19" s="397"/>
      <c r="Y19" s="386"/>
      <c r="Z19" s="387"/>
      <c r="AA19" s="387"/>
      <c r="AB19" s="387"/>
      <c r="AC19" s="388"/>
      <c r="AD19" s="386"/>
      <c r="AE19" s="387"/>
      <c r="AF19" s="387"/>
      <c r="AG19" s="387"/>
      <c r="AH19" s="387"/>
      <c r="AI19" s="387"/>
      <c r="AJ19" s="387"/>
      <c r="AK19" s="387"/>
      <c r="AL19" s="387"/>
      <c r="AM19" s="388"/>
      <c r="AN19" s="386"/>
      <c r="AO19" s="387"/>
      <c r="AP19" s="387"/>
      <c r="AQ19" s="388"/>
      <c r="AR19" s="398"/>
      <c r="AS19" s="386"/>
      <c r="AT19" s="388"/>
      <c r="AV19" s="566"/>
      <c r="AW19" s="567"/>
      <c r="AX19" s="304">
        <f t="shared" si="32"/>
        <v>17</v>
      </c>
    </row>
    <row r="20" spans="1:50" ht="11.1" customHeight="1" x14ac:dyDescent="0.25">
      <c r="A20" s="214">
        <v>16</v>
      </c>
      <c r="B20" s="386"/>
      <c r="C20" s="387"/>
      <c r="D20" s="387"/>
      <c r="E20" s="387"/>
      <c r="F20" s="387"/>
      <c r="G20" s="388"/>
      <c r="H20" s="386"/>
      <c r="I20" s="387"/>
      <c r="J20" s="387"/>
      <c r="K20" s="387"/>
      <c r="L20" s="388"/>
      <c r="M20" s="386"/>
      <c r="N20" s="387"/>
      <c r="O20" s="387"/>
      <c r="P20" s="387"/>
      <c r="Q20" s="387"/>
      <c r="R20" s="387"/>
      <c r="S20" s="387"/>
      <c r="T20" s="387"/>
      <c r="U20" s="388"/>
      <c r="V20" s="386"/>
      <c r="W20" s="388"/>
      <c r="X20" s="397"/>
      <c r="Y20" s="386"/>
      <c r="Z20" s="387"/>
      <c r="AA20" s="387"/>
      <c r="AB20" s="387"/>
      <c r="AC20" s="388"/>
      <c r="AD20" s="386"/>
      <c r="AE20" s="387"/>
      <c r="AF20" s="387"/>
      <c r="AG20" s="387"/>
      <c r="AH20" s="387"/>
      <c r="AI20" s="387"/>
      <c r="AJ20" s="387"/>
      <c r="AK20" s="387"/>
      <c r="AL20" s="387"/>
      <c r="AM20" s="388"/>
      <c r="AN20" s="386"/>
      <c r="AO20" s="387"/>
      <c r="AP20" s="387"/>
      <c r="AQ20" s="388"/>
      <c r="AR20" s="398"/>
      <c r="AS20" s="386"/>
      <c r="AT20" s="388"/>
      <c r="AV20" s="566"/>
      <c r="AW20" s="567"/>
      <c r="AX20" s="304">
        <f t="shared" si="32"/>
        <v>18</v>
      </c>
    </row>
    <row r="21" spans="1:50" ht="11.1" customHeight="1" x14ac:dyDescent="0.25">
      <c r="A21" s="214">
        <v>17</v>
      </c>
      <c r="B21" s="386"/>
      <c r="C21" s="387"/>
      <c r="D21" s="387"/>
      <c r="E21" s="387"/>
      <c r="F21" s="387"/>
      <c r="G21" s="388"/>
      <c r="H21" s="386"/>
      <c r="I21" s="387"/>
      <c r="J21" s="387"/>
      <c r="K21" s="387"/>
      <c r="L21" s="388"/>
      <c r="M21" s="386"/>
      <c r="N21" s="387"/>
      <c r="O21" s="387"/>
      <c r="P21" s="387"/>
      <c r="Q21" s="387"/>
      <c r="R21" s="387"/>
      <c r="S21" s="387"/>
      <c r="T21" s="387"/>
      <c r="U21" s="388"/>
      <c r="V21" s="386"/>
      <c r="W21" s="388"/>
      <c r="X21" s="397"/>
      <c r="Y21" s="386"/>
      <c r="Z21" s="387"/>
      <c r="AA21" s="387"/>
      <c r="AB21" s="387"/>
      <c r="AC21" s="388"/>
      <c r="AD21" s="386"/>
      <c r="AE21" s="387"/>
      <c r="AF21" s="387"/>
      <c r="AG21" s="387"/>
      <c r="AH21" s="387"/>
      <c r="AI21" s="387"/>
      <c r="AJ21" s="387"/>
      <c r="AK21" s="387"/>
      <c r="AL21" s="387"/>
      <c r="AM21" s="388"/>
      <c r="AN21" s="386"/>
      <c r="AO21" s="387"/>
      <c r="AP21" s="387"/>
      <c r="AQ21" s="388"/>
      <c r="AR21" s="398"/>
      <c r="AS21" s="386"/>
      <c r="AT21" s="388"/>
      <c r="AV21" s="566"/>
      <c r="AW21" s="567"/>
      <c r="AX21" s="304">
        <f t="shared" si="32"/>
        <v>19</v>
      </c>
    </row>
    <row r="22" spans="1:50" ht="11.1" customHeight="1" x14ac:dyDescent="0.25">
      <c r="A22" s="214">
        <v>18</v>
      </c>
      <c r="B22" s="386"/>
      <c r="C22" s="387"/>
      <c r="D22" s="387"/>
      <c r="E22" s="387"/>
      <c r="F22" s="387"/>
      <c r="G22" s="388"/>
      <c r="H22" s="386"/>
      <c r="I22" s="387"/>
      <c r="J22" s="387"/>
      <c r="K22" s="387"/>
      <c r="L22" s="388"/>
      <c r="M22" s="386"/>
      <c r="N22" s="387"/>
      <c r="O22" s="387"/>
      <c r="P22" s="387"/>
      <c r="Q22" s="387"/>
      <c r="R22" s="387"/>
      <c r="S22" s="387"/>
      <c r="T22" s="387"/>
      <c r="U22" s="388"/>
      <c r="V22" s="386"/>
      <c r="W22" s="388"/>
      <c r="X22" s="397"/>
      <c r="Y22" s="386"/>
      <c r="Z22" s="387"/>
      <c r="AA22" s="387"/>
      <c r="AB22" s="387"/>
      <c r="AC22" s="388"/>
      <c r="AD22" s="386"/>
      <c r="AE22" s="387"/>
      <c r="AF22" s="387"/>
      <c r="AG22" s="387"/>
      <c r="AH22" s="387"/>
      <c r="AI22" s="387"/>
      <c r="AJ22" s="387"/>
      <c r="AK22" s="387"/>
      <c r="AL22" s="387"/>
      <c r="AM22" s="388"/>
      <c r="AN22" s="386"/>
      <c r="AO22" s="387"/>
      <c r="AP22" s="387"/>
      <c r="AQ22" s="388"/>
      <c r="AR22" s="398"/>
      <c r="AS22" s="386"/>
      <c r="AT22" s="388"/>
      <c r="AV22" s="566"/>
      <c r="AW22" s="567"/>
      <c r="AX22" s="304">
        <f t="shared" si="32"/>
        <v>20</v>
      </c>
    </row>
    <row r="23" spans="1:50" ht="11.1" customHeight="1" x14ac:dyDescent="0.25">
      <c r="A23" s="214">
        <v>19</v>
      </c>
      <c r="B23" s="386"/>
      <c r="C23" s="387"/>
      <c r="D23" s="387"/>
      <c r="E23" s="387"/>
      <c r="F23" s="387"/>
      <c r="G23" s="388"/>
      <c r="H23" s="386"/>
      <c r="I23" s="387"/>
      <c r="J23" s="387"/>
      <c r="K23" s="387"/>
      <c r="L23" s="388"/>
      <c r="M23" s="386"/>
      <c r="N23" s="387"/>
      <c r="O23" s="387"/>
      <c r="P23" s="387"/>
      <c r="Q23" s="387"/>
      <c r="R23" s="387"/>
      <c r="S23" s="387"/>
      <c r="T23" s="387"/>
      <c r="U23" s="388"/>
      <c r="V23" s="386"/>
      <c r="W23" s="388"/>
      <c r="X23" s="397"/>
      <c r="Y23" s="386"/>
      <c r="Z23" s="387"/>
      <c r="AA23" s="387"/>
      <c r="AB23" s="387"/>
      <c r="AC23" s="388"/>
      <c r="AD23" s="386"/>
      <c r="AE23" s="387"/>
      <c r="AF23" s="387"/>
      <c r="AG23" s="387"/>
      <c r="AH23" s="387"/>
      <c r="AI23" s="387"/>
      <c r="AJ23" s="387"/>
      <c r="AK23" s="387"/>
      <c r="AL23" s="387"/>
      <c r="AM23" s="388"/>
      <c r="AN23" s="386"/>
      <c r="AO23" s="387"/>
      <c r="AP23" s="387"/>
      <c r="AQ23" s="388"/>
      <c r="AR23" s="398"/>
      <c r="AS23" s="386"/>
      <c r="AT23" s="388"/>
      <c r="AV23" s="566"/>
      <c r="AW23" s="567"/>
      <c r="AX23" s="304">
        <f t="shared" si="32"/>
        <v>21</v>
      </c>
    </row>
    <row r="24" spans="1:50" ht="11.1" customHeight="1" x14ac:dyDescent="0.25">
      <c r="A24" s="214">
        <v>20</v>
      </c>
      <c r="B24" s="386"/>
      <c r="C24" s="387"/>
      <c r="D24" s="387"/>
      <c r="E24" s="387"/>
      <c r="F24" s="387"/>
      <c r="G24" s="388"/>
      <c r="H24" s="386"/>
      <c r="I24" s="387"/>
      <c r="J24" s="387"/>
      <c r="K24" s="387"/>
      <c r="L24" s="388"/>
      <c r="M24" s="386"/>
      <c r="N24" s="387"/>
      <c r="O24" s="387"/>
      <c r="P24" s="387"/>
      <c r="Q24" s="387"/>
      <c r="R24" s="387"/>
      <c r="S24" s="387"/>
      <c r="T24" s="387"/>
      <c r="U24" s="388"/>
      <c r="V24" s="386"/>
      <c r="W24" s="388"/>
      <c r="X24" s="397"/>
      <c r="Y24" s="386"/>
      <c r="Z24" s="387"/>
      <c r="AA24" s="387"/>
      <c r="AB24" s="387"/>
      <c r="AC24" s="388"/>
      <c r="AD24" s="386"/>
      <c r="AE24" s="387"/>
      <c r="AF24" s="387"/>
      <c r="AG24" s="387"/>
      <c r="AH24" s="387"/>
      <c r="AI24" s="387"/>
      <c r="AJ24" s="387"/>
      <c r="AK24" s="387"/>
      <c r="AL24" s="387"/>
      <c r="AM24" s="388"/>
      <c r="AN24" s="386"/>
      <c r="AO24" s="387"/>
      <c r="AP24" s="387"/>
      <c r="AQ24" s="388"/>
      <c r="AR24" s="398"/>
      <c r="AS24" s="386"/>
      <c r="AT24" s="388"/>
      <c r="AV24" s="566"/>
      <c r="AW24" s="567"/>
      <c r="AX24" s="304">
        <f t="shared" si="32"/>
        <v>22</v>
      </c>
    </row>
    <row r="25" spans="1:50" ht="11.1" customHeight="1" x14ac:dyDescent="0.25">
      <c r="A25" s="214">
        <v>21</v>
      </c>
      <c r="B25" s="386"/>
      <c r="C25" s="387"/>
      <c r="D25" s="387"/>
      <c r="E25" s="387"/>
      <c r="F25" s="387"/>
      <c r="G25" s="388"/>
      <c r="H25" s="386"/>
      <c r="I25" s="387"/>
      <c r="J25" s="387"/>
      <c r="K25" s="387"/>
      <c r="L25" s="388"/>
      <c r="M25" s="386"/>
      <c r="N25" s="387"/>
      <c r="O25" s="387"/>
      <c r="P25" s="387"/>
      <c r="Q25" s="387"/>
      <c r="R25" s="387"/>
      <c r="S25" s="387"/>
      <c r="T25" s="387"/>
      <c r="U25" s="388"/>
      <c r="V25" s="386"/>
      <c r="W25" s="388"/>
      <c r="X25" s="397"/>
      <c r="Y25" s="386"/>
      <c r="Z25" s="387"/>
      <c r="AA25" s="387"/>
      <c r="AB25" s="387"/>
      <c r="AC25" s="388"/>
      <c r="AD25" s="386"/>
      <c r="AE25" s="387"/>
      <c r="AF25" s="387"/>
      <c r="AG25" s="387"/>
      <c r="AH25" s="387"/>
      <c r="AI25" s="387"/>
      <c r="AJ25" s="387"/>
      <c r="AK25" s="387"/>
      <c r="AL25" s="387"/>
      <c r="AM25" s="388"/>
      <c r="AN25" s="386"/>
      <c r="AO25" s="387"/>
      <c r="AP25" s="387"/>
      <c r="AQ25" s="388"/>
      <c r="AR25" s="398"/>
      <c r="AS25" s="386"/>
      <c r="AT25" s="388"/>
      <c r="AV25" s="566"/>
      <c r="AW25" s="567"/>
      <c r="AX25" s="304">
        <f t="shared" si="32"/>
        <v>23</v>
      </c>
    </row>
    <row r="26" spans="1:50" ht="11.1" customHeight="1" x14ac:dyDescent="0.25">
      <c r="A26" s="214">
        <v>22</v>
      </c>
      <c r="B26" s="386"/>
      <c r="C26" s="387"/>
      <c r="D26" s="387"/>
      <c r="E26" s="387"/>
      <c r="F26" s="387"/>
      <c r="G26" s="388"/>
      <c r="H26" s="386"/>
      <c r="I26" s="387"/>
      <c r="J26" s="387"/>
      <c r="K26" s="387"/>
      <c r="L26" s="388"/>
      <c r="M26" s="386"/>
      <c r="N26" s="387"/>
      <c r="O26" s="387"/>
      <c r="P26" s="387"/>
      <c r="Q26" s="387"/>
      <c r="R26" s="387"/>
      <c r="S26" s="387"/>
      <c r="T26" s="387"/>
      <c r="U26" s="388"/>
      <c r="V26" s="386"/>
      <c r="W26" s="388"/>
      <c r="X26" s="397"/>
      <c r="Y26" s="386"/>
      <c r="Z26" s="387"/>
      <c r="AA26" s="387"/>
      <c r="AB26" s="387"/>
      <c r="AC26" s="388"/>
      <c r="AD26" s="386"/>
      <c r="AE26" s="387"/>
      <c r="AF26" s="387"/>
      <c r="AG26" s="387"/>
      <c r="AH26" s="387"/>
      <c r="AI26" s="387"/>
      <c r="AJ26" s="387"/>
      <c r="AK26" s="387"/>
      <c r="AL26" s="387"/>
      <c r="AM26" s="388"/>
      <c r="AN26" s="386"/>
      <c r="AO26" s="387"/>
      <c r="AP26" s="387"/>
      <c r="AQ26" s="388"/>
      <c r="AR26" s="398"/>
      <c r="AS26" s="386"/>
      <c r="AT26" s="388"/>
      <c r="AV26" s="566"/>
      <c r="AW26" s="567"/>
      <c r="AX26" s="304">
        <f t="shared" si="32"/>
        <v>24</v>
      </c>
    </row>
    <row r="27" spans="1:50" ht="11.1" customHeight="1" x14ac:dyDescent="0.25">
      <c r="A27" s="214">
        <v>23</v>
      </c>
      <c r="B27" s="386"/>
      <c r="C27" s="387"/>
      <c r="D27" s="387"/>
      <c r="E27" s="387"/>
      <c r="F27" s="387"/>
      <c r="G27" s="388"/>
      <c r="H27" s="386"/>
      <c r="I27" s="387"/>
      <c r="J27" s="387"/>
      <c r="K27" s="387"/>
      <c r="L27" s="388"/>
      <c r="M27" s="386"/>
      <c r="N27" s="387"/>
      <c r="O27" s="387"/>
      <c r="P27" s="387"/>
      <c r="Q27" s="387"/>
      <c r="R27" s="387"/>
      <c r="S27" s="387"/>
      <c r="T27" s="387"/>
      <c r="U27" s="388"/>
      <c r="V27" s="386"/>
      <c r="W27" s="388"/>
      <c r="X27" s="397"/>
      <c r="Y27" s="386"/>
      <c r="Z27" s="387"/>
      <c r="AA27" s="387"/>
      <c r="AB27" s="387"/>
      <c r="AC27" s="388"/>
      <c r="AD27" s="386"/>
      <c r="AE27" s="387"/>
      <c r="AF27" s="387"/>
      <c r="AG27" s="387"/>
      <c r="AH27" s="387"/>
      <c r="AI27" s="387"/>
      <c r="AJ27" s="387"/>
      <c r="AK27" s="387"/>
      <c r="AL27" s="387"/>
      <c r="AM27" s="388"/>
      <c r="AN27" s="386"/>
      <c r="AO27" s="387"/>
      <c r="AP27" s="387"/>
      <c r="AQ27" s="388"/>
      <c r="AR27" s="398"/>
      <c r="AS27" s="386"/>
      <c r="AT27" s="388"/>
      <c r="AV27" s="566"/>
      <c r="AW27" s="567"/>
      <c r="AX27" s="304">
        <f t="shared" si="32"/>
        <v>25</v>
      </c>
    </row>
    <row r="28" spans="1:50" ht="11.1" customHeight="1" x14ac:dyDescent="0.25">
      <c r="A28" s="214">
        <v>24</v>
      </c>
      <c r="B28" s="386"/>
      <c r="C28" s="387"/>
      <c r="D28" s="387"/>
      <c r="E28" s="387"/>
      <c r="F28" s="387"/>
      <c r="G28" s="388"/>
      <c r="H28" s="386"/>
      <c r="I28" s="387"/>
      <c r="J28" s="387"/>
      <c r="K28" s="387"/>
      <c r="L28" s="388"/>
      <c r="M28" s="386"/>
      <c r="N28" s="387"/>
      <c r="O28" s="387"/>
      <c r="P28" s="387"/>
      <c r="Q28" s="387"/>
      <c r="R28" s="387"/>
      <c r="S28" s="387"/>
      <c r="T28" s="387"/>
      <c r="U28" s="388"/>
      <c r="V28" s="386"/>
      <c r="W28" s="388"/>
      <c r="X28" s="397"/>
      <c r="Y28" s="386"/>
      <c r="Z28" s="387"/>
      <c r="AA28" s="387"/>
      <c r="AB28" s="387"/>
      <c r="AC28" s="388"/>
      <c r="AD28" s="386"/>
      <c r="AE28" s="387"/>
      <c r="AF28" s="387"/>
      <c r="AG28" s="387"/>
      <c r="AH28" s="387"/>
      <c r="AI28" s="387"/>
      <c r="AJ28" s="387"/>
      <c r="AK28" s="387"/>
      <c r="AL28" s="387"/>
      <c r="AM28" s="388"/>
      <c r="AN28" s="386"/>
      <c r="AO28" s="387"/>
      <c r="AP28" s="387"/>
      <c r="AQ28" s="388"/>
      <c r="AR28" s="398"/>
      <c r="AS28" s="386"/>
      <c r="AT28" s="388"/>
      <c r="AV28" s="566"/>
      <c r="AW28" s="567"/>
      <c r="AX28" s="304">
        <f t="shared" si="32"/>
        <v>26</v>
      </c>
    </row>
    <row r="29" spans="1:50" ht="11.1" customHeight="1" x14ac:dyDescent="0.25">
      <c r="A29" s="214">
        <v>25</v>
      </c>
      <c r="B29" s="386"/>
      <c r="C29" s="387"/>
      <c r="D29" s="387"/>
      <c r="E29" s="387"/>
      <c r="F29" s="387"/>
      <c r="G29" s="388"/>
      <c r="H29" s="386"/>
      <c r="I29" s="387"/>
      <c r="J29" s="387"/>
      <c r="K29" s="387"/>
      <c r="L29" s="388"/>
      <c r="M29" s="386"/>
      <c r="N29" s="387"/>
      <c r="O29" s="387"/>
      <c r="P29" s="387"/>
      <c r="Q29" s="387"/>
      <c r="R29" s="387"/>
      <c r="S29" s="387"/>
      <c r="T29" s="387"/>
      <c r="U29" s="388"/>
      <c r="V29" s="386"/>
      <c r="W29" s="388"/>
      <c r="X29" s="397"/>
      <c r="Y29" s="386"/>
      <c r="Z29" s="387"/>
      <c r="AA29" s="387"/>
      <c r="AB29" s="387"/>
      <c r="AC29" s="388"/>
      <c r="AD29" s="386"/>
      <c r="AE29" s="387"/>
      <c r="AF29" s="387"/>
      <c r="AG29" s="387"/>
      <c r="AH29" s="387"/>
      <c r="AI29" s="387"/>
      <c r="AJ29" s="387"/>
      <c r="AK29" s="387"/>
      <c r="AL29" s="387"/>
      <c r="AM29" s="388"/>
      <c r="AN29" s="386"/>
      <c r="AO29" s="387"/>
      <c r="AP29" s="387"/>
      <c r="AQ29" s="388"/>
      <c r="AR29" s="398"/>
      <c r="AS29" s="386"/>
      <c r="AT29" s="388"/>
      <c r="AV29" s="566"/>
      <c r="AW29" s="567"/>
      <c r="AX29" s="304">
        <f t="shared" si="32"/>
        <v>27</v>
      </c>
    </row>
    <row r="30" spans="1:50" ht="11.1" customHeight="1" thickBot="1" x14ac:dyDescent="0.3">
      <c r="A30" s="214">
        <v>26</v>
      </c>
      <c r="B30" s="386"/>
      <c r="C30" s="387"/>
      <c r="D30" s="387"/>
      <c r="E30" s="387"/>
      <c r="F30" s="387"/>
      <c r="G30" s="388"/>
      <c r="H30" s="386"/>
      <c r="I30" s="387"/>
      <c r="J30" s="387"/>
      <c r="K30" s="387"/>
      <c r="L30" s="388"/>
      <c r="M30" s="386"/>
      <c r="N30" s="387"/>
      <c r="O30" s="387"/>
      <c r="P30" s="387"/>
      <c r="Q30" s="387"/>
      <c r="R30" s="387"/>
      <c r="S30" s="387"/>
      <c r="T30" s="387"/>
      <c r="U30" s="388"/>
      <c r="V30" s="386"/>
      <c r="W30" s="388"/>
      <c r="X30" s="397"/>
      <c r="Y30" s="386"/>
      <c r="Z30" s="387"/>
      <c r="AA30" s="387"/>
      <c r="AB30" s="387"/>
      <c r="AC30" s="388"/>
      <c r="AD30" s="386"/>
      <c r="AE30" s="387"/>
      <c r="AF30" s="387"/>
      <c r="AG30" s="387"/>
      <c r="AH30" s="387"/>
      <c r="AI30" s="387"/>
      <c r="AJ30" s="387"/>
      <c r="AK30" s="387"/>
      <c r="AL30" s="387"/>
      <c r="AM30" s="388"/>
      <c r="AN30" s="386"/>
      <c r="AO30" s="387"/>
      <c r="AP30" s="387"/>
      <c r="AQ30" s="388"/>
      <c r="AR30" s="398"/>
      <c r="AS30" s="386"/>
      <c r="AT30" s="388"/>
      <c r="AV30" s="568"/>
      <c r="AW30" s="569"/>
      <c r="AX30" s="304">
        <f t="shared" si="32"/>
        <v>28</v>
      </c>
    </row>
    <row r="31" spans="1:50" ht="11.1" customHeight="1" x14ac:dyDescent="0.25">
      <c r="A31" s="214">
        <v>27</v>
      </c>
      <c r="B31" s="386"/>
      <c r="C31" s="387"/>
      <c r="D31" s="387"/>
      <c r="E31" s="387"/>
      <c r="F31" s="387"/>
      <c r="G31" s="388"/>
      <c r="H31" s="386"/>
      <c r="I31" s="387"/>
      <c r="J31" s="387"/>
      <c r="K31" s="387"/>
      <c r="L31" s="388"/>
      <c r="M31" s="386"/>
      <c r="N31" s="387"/>
      <c r="O31" s="387"/>
      <c r="P31" s="387"/>
      <c r="Q31" s="387"/>
      <c r="R31" s="387"/>
      <c r="S31" s="387"/>
      <c r="T31" s="387"/>
      <c r="U31" s="388"/>
      <c r="V31" s="386"/>
      <c r="W31" s="388"/>
      <c r="X31" s="397"/>
      <c r="Y31" s="386"/>
      <c r="Z31" s="387"/>
      <c r="AA31" s="387"/>
      <c r="AB31" s="387"/>
      <c r="AC31" s="388"/>
      <c r="AD31" s="386"/>
      <c r="AE31" s="387"/>
      <c r="AF31" s="387"/>
      <c r="AG31" s="387"/>
      <c r="AH31" s="387"/>
      <c r="AI31" s="387"/>
      <c r="AJ31" s="387"/>
      <c r="AK31" s="387"/>
      <c r="AL31" s="387"/>
      <c r="AM31" s="388"/>
      <c r="AN31" s="386"/>
      <c r="AO31" s="387"/>
      <c r="AP31" s="387"/>
      <c r="AQ31" s="388"/>
      <c r="AR31" s="398"/>
      <c r="AS31" s="386"/>
      <c r="AT31" s="388"/>
      <c r="AX31" s="304">
        <f t="shared" si="32"/>
        <v>29</v>
      </c>
    </row>
    <row r="32" spans="1:50" ht="11.1" customHeight="1" x14ac:dyDescent="0.25">
      <c r="A32" s="214">
        <v>28</v>
      </c>
      <c r="B32" s="386"/>
      <c r="C32" s="387"/>
      <c r="D32" s="387"/>
      <c r="E32" s="387"/>
      <c r="F32" s="387"/>
      <c r="G32" s="388"/>
      <c r="H32" s="386"/>
      <c r="I32" s="387"/>
      <c r="J32" s="387"/>
      <c r="K32" s="387"/>
      <c r="L32" s="388"/>
      <c r="M32" s="386"/>
      <c r="N32" s="387"/>
      <c r="O32" s="387"/>
      <c r="P32" s="387"/>
      <c r="Q32" s="387"/>
      <c r="R32" s="387"/>
      <c r="S32" s="387"/>
      <c r="T32" s="387"/>
      <c r="U32" s="388"/>
      <c r="V32" s="386"/>
      <c r="W32" s="388"/>
      <c r="X32" s="397"/>
      <c r="Y32" s="386"/>
      <c r="Z32" s="387"/>
      <c r="AA32" s="387"/>
      <c r="AB32" s="387"/>
      <c r="AC32" s="388"/>
      <c r="AD32" s="386"/>
      <c r="AE32" s="387"/>
      <c r="AF32" s="387"/>
      <c r="AG32" s="387"/>
      <c r="AH32" s="387"/>
      <c r="AI32" s="387"/>
      <c r="AJ32" s="387"/>
      <c r="AK32" s="387"/>
      <c r="AL32" s="387"/>
      <c r="AM32" s="388"/>
      <c r="AN32" s="386"/>
      <c r="AO32" s="387"/>
      <c r="AP32" s="387"/>
      <c r="AQ32" s="388"/>
      <c r="AR32" s="398"/>
      <c r="AS32" s="386"/>
      <c r="AT32" s="388"/>
      <c r="AX32" s="304">
        <f t="shared" si="32"/>
        <v>30</v>
      </c>
    </row>
    <row r="33" spans="1:50" ht="11.1" customHeight="1" x14ac:dyDescent="0.25">
      <c r="A33" s="214">
        <v>29</v>
      </c>
      <c r="B33" s="386"/>
      <c r="C33" s="387"/>
      <c r="D33" s="387"/>
      <c r="E33" s="387"/>
      <c r="F33" s="387"/>
      <c r="G33" s="388"/>
      <c r="H33" s="386"/>
      <c r="I33" s="387"/>
      <c r="J33" s="387"/>
      <c r="K33" s="387"/>
      <c r="L33" s="388"/>
      <c r="M33" s="386"/>
      <c r="N33" s="387"/>
      <c r="O33" s="387"/>
      <c r="P33" s="387"/>
      <c r="Q33" s="387"/>
      <c r="R33" s="387"/>
      <c r="S33" s="387"/>
      <c r="T33" s="387"/>
      <c r="U33" s="388"/>
      <c r="V33" s="386"/>
      <c r="W33" s="388"/>
      <c r="X33" s="397"/>
      <c r="Y33" s="386"/>
      <c r="Z33" s="387"/>
      <c r="AA33" s="387"/>
      <c r="AB33" s="387"/>
      <c r="AC33" s="388"/>
      <c r="AD33" s="386"/>
      <c r="AE33" s="387"/>
      <c r="AF33" s="387"/>
      <c r="AG33" s="387"/>
      <c r="AH33" s="387"/>
      <c r="AI33" s="387"/>
      <c r="AJ33" s="387"/>
      <c r="AK33" s="387"/>
      <c r="AL33" s="387"/>
      <c r="AM33" s="388"/>
      <c r="AN33" s="386"/>
      <c r="AO33" s="387"/>
      <c r="AP33" s="387"/>
      <c r="AQ33" s="388"/>
      <c r="AR33" s="398"/>
      <c r="AS33" s="386"/>
      <c r="AT33" s="388"/>
      <c r="AX33" s="304">
        <f t="shared" si="32"/>
        <v>31</v>
      </c>
    </row>
    <row r="34" spans="1:50" ht="11.1" customHeight="1" x14ac:dyDescent="0.25">
      <c r="A34" s="214">
        <v>30</v>
      </c>
      <c r="B34" s="386"/>
      <c r="C34" s="387"/>
      <c r="D34" s="387"/>
      <c r="E34" s="387"/>
      <c r="F34" s="387"/>
      <c r="G34" s="388"/>
      <c r="H34" s="386"/>
      <c r="I34" s="387"/>
      <c r="J34" s="387"/>
      <c r="K34" s="387"/>
      <c r="L34" s="388"/>
      <c r="M34" s="386"/>
      <c r="N34" s="387"/>
      <c r="O34" s="387"/>
      <c r="P34" s="387"/>
      <c r="Q34" s="387"/>
      <c r="R34" s="387"/>
      <c r="S34" s="387"/>
      <c r="T34" s="387"/>
      <c r="U34" s="388"/>
      <c r="V34" s="386"/>
      <c r="W34" s="388"/>
      <c r="X34" s="397"/>
      <c r="Y34" s="386"/>
      <c r="Z34" s="387"/>
      <c r="AA34" s="387"/>
      <c r="AB34" s="387"/>
      <c r="AC34" s="388"/>
      <c r="AD34" s="386"/>
      <c r="AE34" s="387"/>
      <c r="AF34" s="387"/>
      <c r="AG34" s="387"/>
      <c r="AH34" s="387"/>
      <c r="AI34" s="387"/>
      <c r="AJ34" s="387"/>
      <c r="AK34" s="387"/>
      <c r="AL34" s="387"/>
      <c r="AM34" s="388"/>
      <c r="AN34" s="386"/>
      <c r="AO34" s="387"/>
      <c r="AP34" s="387"/>
      <c r="AQ34" s="388"/>
      <c r="AR34" s="398"/>
      <c r="AS34" s="386"/>
      <c r="AT34" s="388"/>
      <c r="AX34" s="304">
        <f t="shared" si="32"/>
        <v>32</v>
      </c>
    </row>
    <row r="35" spans="1:50" ht="11.1" customHeight="1" x14ac:dyDescent="0.25">
      <c r="A35" s="214">
        <v>31</v>
      </c>
      <c r="B35" s="386"/>
      <c r="C35" s="387"/>
      <c r="D35" s="387"/>
      <c r="E35" s="387"/>
      <c r="F35" s="387"/>
      <c r="G35" s="388"/>
      <c r="H35" s="386"/>
      <c r="I35" s="387"/>
      <c r="J35" s="387"/>
      <c r="K35" s="387"/>
      <c r="L35" s="388"/>
      <c r="M35" s="386"/>
      <c r="N35" s="387"/>
      <c r="O35" s="387"/>
      <c r="P35" s="387"/>
      <c r="Q35" s="387"/>
      <c r="R35" s="387"/>
      <c r="S35" s="387"/>
      <c r="T35" s="387"/>
      <c r="U35" s="388"/>
      <c r="V35" s="386"/>
      <c r="W35" s="388"/>
      <c r="X35" s="397"/>
      <c r="Y35" s="386"/>
      <c r="Z35" s="387"/>
      <c r="AA35" s="387"/>
      <c r="AB35" s="387"/>
      <c r="AC35" s="388"/>
      <c r="AD35" s="386"/>
      <c r="AE35" s="387"/>
      <c r="AF35" s="387"/>
      <c r="AG35" s="387"/>
      <c r="AH35" s="387"/>
      <c r="AI35" s="387"/>
      <c r="AJ35" s="387"/>
      <c r="AK35" s="387"/>
      <c r="AL35" s="387"/>
      <c r="AM35" s="388"/>
      <c r="AN35" s="386"/>
      <c r="AO35" s="387"/>
      <c r="AP35" s="387"/>
      <c r="AQ35" s="388"/>
      <c r="AR35" s="398"/>
      <c r="AS35" s="386"/>
      <c r="AT35" s="388"/>
      <c r="AX35" s="304">
        <f t="shared" si="32"/>
        <v>33</v>
      </c>
    </row>
    <row r="36" spans="1:50" ht="11.1" customHeight="1" x14ac:dyDescent="0.25">
      <c r="A36" s="214">
        <v>32</v>
      </c>
      <c r="B36" s="386"/>
      <c r="C36" s="387"/>
      <c r="D36" s="387"/>
      <c r="E36" s="387"/>
      <c r="F36" s="387"/>
      <c r="G36" s="388"/>
      <c r="H36" s="386"/>
      <c r="I36" s="387"/>
      <c r="J36" s="387"/>
      <c r="K36" s="387"/>
      <c r="L36" s="388"/>
      <c r="M36" s="386"/>
      <c r="N36" s="387"/>
      <c r="O36" s="387"/>
      <c r="P36" s="387"/>
      <c r="Q36" s="387"/>
      <c r="R36" s="387"/>
      <c r="S36" s="387"/>
      <c r="T36" s="387"/>
      <c r="U36" s="388"/>
      <c r="V36" s="386"/>
      <c r="W36" s="388"/>
      <c r="X36" s="397"/>
      <c r="Y36" s="386"/>
      <c r="Z36" s="387"/>
      <c r="AA36" s="387"/>
      <c r="AB36" s="387"/>
      <c r="AC36" s="388"/>
      <c r="AD36" s="386"/>
      <c r="AE36" s="387"/>
      <c r="AF36" s="387"/>
      <c r="AG36" s="387"/>
      <c r="AH36" s="387"/>
      <c r="AI36" s="387"/>
      <c r="AJ36" s="387"/>
      <c r="AK36" s="387"/>
      <c r="AL36" s="387"/>
      <c r="AM36" s="388"/>
      <c r="AN36" s="386"/>
      <c r="AO36" s="387"/>
      <c r="AP36" s="387"/>
      <c r="AQ36" s="388"/>
      <c r="AR36" s="398"/>
      <c r="AS36" s="386"/>
      <c r="AT36" s="388"/>
      <c r="AX36" s="304">
        <f t="shared" si="32"/>
        <v>34</v>
      </c>
    </row>
    <row r="37" spans="1:50" ht="11.1" customHeight="1" x14ac:dyDescent="0.25">
      <c r="A37" s="214">
        <v>33</v>
      </c>
      <c r="B37" s="386"/>
      <c r="C37" s="387"/>
      <c r="D37" s="387"/>
      <c r="E37" s="387"/>
      <c r="F37" s="387"/>
      <c r="G37" s="388"/>
      <c r="H37" s="386"/>
      <c r="I37" s="387"/>
      <c r="J37" s="387"/>
      <c r="K37" s="387"/>
      <c r="L37" s="388"/>
      <c r="M37" s="386"/>
      <c r="N37" s="387"/>
      <c r="O37" s="387"/>
      <c r="P37" s="387"/>
      <c r="Q37" s="387"/>
      <c r="R37" s="387"/>
      <c r="S37" s="387"/>
      <c r="T37" s="387"/>
      <c r="U37" s="388"/>
      <c r="V37" s="386"/>
      <c r="W37" s="388"/>
      <c r="X37" s="397"/>
      <c r="Y37" s="386"/>
      <c r="Z37" s="387"/>
      <c r="AA37" s="387"/>
      <c r="AB37" s="387"/>
      <c r="AC37" s="388"/>
      <c r="AD37" s="386"/>
      <c r="AE37" s="387"/>
      <c r="AF37" s="387"/>
      <c r="AG37" s="387"/>
      <c r="AH37" s="387"/>
      <c r="AI37" s="387"/>
      <c r="AJ37" s="387"/>
      <c r="AK37" s="387"/>
      <c r="AL37" s="387"/>
      <c r="AM37" s="388"/>
      <c r="AN37" s="386"/>
      <c r="AO37" s="387"/>
      <c r="AP37" s="387"/>
      <c r="AQ37" s="388"/>
      <c r="AR37" s="398"/>
      <c r="AS37" s="386"/>
      <c r="AT37" s="388"/>
      <c r="AX37" s="304">
        <f t="shared" si="32"/>
        <v>35</v>
      </c>
    </row>
    <row r="38" spans="1:50" ht="11.1" customHeight="1" x14ac:dyDescent="0.25">
      <c r="A38" s="214">
        <v>34</v>
      </c>
      <c r="B38" s="386"/>
      <c r="C38" s="387"/>
      <c r="D38" s="387"/>
      <c r="E38" s="387"/>
      <c r="F38" s="387"/>
      <c r="G38" s="388"/>
      <c r="H38" s="386"/>
      <c r="I38" s="387"/>
      <c r="J38" s="387"/>
      <c r="K38" s="387"/>
      <c r="L38" s="388"/>
      <c r="M38" s="386"/>
      <c r="N38" s="387"/>
      <c r="O38" s="387"/>
      <c r="P38" s="387"/>
      <c r="Q38" s="387"/>
      <c r="R38" s="387"/>
      <c r="S38" s="387"/>
      <c r="T38" s="387"/>
      <c r="U38" s="388"/>
      <c r="V38" s="386"/>
      <c r="W38" s="388"/>
      <c r="X38" s="397"/>
      <c r="Y38" s="386"/>
      <c r="Z38" s="387"/>
      <c r="AA38" s="387"/>
      <c r="AB38" s="387"/>
      <c r="AC38" s="388"/>
      <c r="AD38" s="386"/>
      <c r="AE38" s="387"/>
      <c r="AF38" s="387"/>
      <c r="AG38" s="387"/>
      <c r="AH38" s="387"/>
      <c r="AI38" s="387"/>
      <c r="AJ38" s="387"/>
      <c r="AK38" s="387"/>
      <c r="AL38" s="387"/>
      <c r="AM38" s="388"/>
      <c r="AN38" s="386"/>
      <c r="AO38" s="387"/>
      <c r="AP38" s="387"/>
      <c r="AQ38" s="388"/>
      <c r="AR38" s="398"/>
      <c r="AS38" s="386"/>
      <c r="AT38" s="388"/>
      <c r="AX38" s="304">
        <f t="shared" si="32"/>
        <v>36</v>
      </c>
    </row>
    <row r="39" spans="1:50" ht="11.1" customHeight="1" x14ac:dyDescent="0.25">
      <c r="A39" s="214">
        <v>35</v>
      </c>
      <c r="B39" s="386"/>
      <c r="C39" s="387"/>
      <c r="D39" s="387"/>
      <c r="E39" s="387"/>
      <c r="F39" s="387"/>
      <c r="G39" s="388"/>
      <c r="H39" s="386"/>
      <c r="I39" s="387"/>
      <c r="J39" s="387"/>
      <c r="K39" s="387"/>
      <c r="L39" s="388"/>
      <c r="M39" s="386"/>
      <c r="N39" s="387"/>
      <c r="O39" s="387"/>
      <c r="P39" s="387"/>
      <c r="Q39" s="387"/>
      <c r="R39" s="387"/>
      <c r="S39" s="387"/>
      <c r="T39" s="387"/>
      <c r="U39" s="388"/>
      <c r="V39" s="386"/>
      <c r="W39" s="388"/>
      <c r="X39" s="397"/>
      <c r="Y39" s="386"/>
      <c r="Z39" s="387"/>
      <c r="AA39" s="387"/>
      <c r="AB39" s="387"/>
      <c r="AC39" s="388"/>
      <c r="AD39" s="386"/>
      <c r="AE39" s="387"/>
      <c r="AF39" s="387"/>
      <c r="AG39" s="387"/>
      <c r="AH39" s="387"/>
      <c r="AI39" s="387"/>
      <c r="AJ39" s="387"/>
      <c r="AK39" s="387"/>
      <c r="AL39" s="387"/>
      <c r="AM39" s="388"/>
      <c r="AN39" s="386"/>
      <c r="AO39" s="387"/>
      <c r="AP39" s="387"/>
      <c r="AQ39" s="388"/>
      <c r="AR39" s="398"/>
      <c r="AS39" s="386"/>
      <c r="AT39" s="388"/>
      <c r="AX39" s="304">
        <f t="shared" si="32"/>
        <v>37</v>
      </c>
    </row>
    <row r="40" spans="1:50" ht="11.1" customHeight="1" x14ac:dyDescent="0.25">
      <c r="A40" s="214">
        <v>36</v>
      </c>
      <c r="B40" s="386"/>
      <c r="C40" s="387"/>
      <c r="D40" s="387"/>
      <c r="E40" s="387"/>
      <c r="F40" s="387"/>
      <c r="G40" s="388"/>
      <c r="H40" s="386"/>
      <c r="I40" s="387"/>
      <c r="J40" s="387"/>
      <c r="K40" s="387"/>
      <c r="L40" s="388"/>
      <c r="M40" s="386"/>
      <c r="N40" s="387"/>
      <c r="O40" s="387"/>
      <c r="P40" s="387"/>
      <c r="Q40" s="387"/>
      <c r="R40" s="387"/>
      <c r="S40" s="387"/>
      <c r="T40" s="387"/>
      <c r="U40" s="388"/>
      <c r="V40" s="386"/>
      <c r="W40" s="388"/>
      <c r="X40" s="397"/>
      <c r="Y40" s="386"/>
      <c r="Z40" s="387"/>
      <c r="AA40" s="387"/>
      <c r="AB40" s="387"/>
      <c r="AC40" s="388"/>
      <c r="AD40" s="386"/>
      <c r="AE40" s="387"/>
      <c r="AF40" s="387"/>
      <c r="AG40" s="387"/>
      <c r="AH40" s="387"/>
      <c r="AI40" s="387"/>
      <c r="AJ40" s="387"/>
      <c r="AK40" s="387"/>
      <c r="AL40" s="387"/>
      <c r="AM40" s="388"/>
      <c r="AN40" s="386"/>
      <c r="AO40" s="387"/>
      <c r="AP40" s="387"/>
      <c r="AQ40" s="388"/>
      <c r="AR40" s="398"/>
      <c r="AS40" s="386"/>
      <c r="AT40" s="388"/>
      <c r="AX40" s="304">
        <f t="shared" si="32"/>
        <v>38</v>
      </c>
    </row>
    <row r="41" spans="1:50" ht="11.1" customHeight="1" x14ac:dyDescent="0.25">
      <c r="A41" s="214">
        <v>37</v>
      </c>
      <c r="B41" s="386"/>
      <c r="C41" s="387"/>
      <c r="D41" s="387"/>
      <c r="E41" s="387"/>
      <c r="F41" s="387"/>
      <c r="G41" s="388"/>
      <c r="H41" s="386"/>
      <c r="I41" s="387"/>
      <c r="J41" s="387"/>
      <c r="K41" s="387"/>
      <c r="L41" s="388"/>
      <c r="M41" s="386"/>
      <c r="N41" s="387"/>
      <c r="O41" s="387"/>
      <c r="P41" s="387"/>
      <c r="Q41" s="387"/>
      <c r="R41" s="387"/>
      <c r="S41" s="387"/>
      <c r="T41" s="387"/>
      <c r="U41" s="388"/>
      <c r="V41" s="386"/>
      <c r="W41" s="388"/>
      <c r="X41" s="397"/>
      <c r="Y41" s="386"/>
      <c r="Z41" s="387"/>
      <c r="AA41" s="387"/>
      <c r="AB41" s="387"/>
      <c r="AC41" s="388"/>
      <c r="AD41" s="386"/>
      <c r="AE41" s="387"/>
      <c r="AF41" s="387"/>
      <c r="AG41" s="387"/>
      <c r="AH41" s="387"/>
      <c r="AI41" s="387"/>
      <c r="AJ41" s="387"/>
      <c r="AK41" s="387"/>
      <c r="AL41" s="387"/>
      <c r="AM41" s="388"/>
      <c r="AN41" s="386"/>
      <c r="AO41" s="387"/>
      <c r="AP41" s="387"/>
      <c r="AQ41" s="388"/>
      <c r="AR41" s="398"/>
      <c r="AS41" s="386"/>
      <c r="AT41" s="388"/>
      <c r="AX41" s="304">
        <f t="shared" si="32"/>
        <v>39</v>
      </c>
    </row>
    <row r="42" spans="1:50" ht="11.1" customHeight="1" thickBot="1" x14ac:dyDescent="0.3">
      <c r="A42" s="214">
        <v>38</v>
      </c>
      <c r="B42" s="386"/>
      <c r="C42" s="387"/>
      <c r="D42" s="387"/>
      <c r="E42" s="387"/>
      <c r="F42" s="387"/>
      <c r="G42" s="388"/>
      <c r="H42" s="386"/>
      <c r="I42" s="387"/>
      <c r="J42" s="387"/>
      <c r="K42" s="387"/>
      <c r="L42" s="388"/>
      <c r="M42" s="386"/>
      <c r="N42" s="387"/>
      <c r="O42" s="387"/>
      <c r="P42" s="387"/>
      <c r="Q42" s="387"/>
      <c r="R42" s="387"/>
      <c r="S42" s="387"/>
      <c r="T42" s="387"/>
      <c r="U42" s="388"/>
      <c r="V42" s="386"/>
      <c r="W42" s="388"/>
      <c r="X42" s="397"/>
      <c r="Y42" s="386"/>
      <c r="Z42" s="387"/>
      <c r="AA42" s="387"/>
      <c r="AB42" s="387"/>
      <c r="AC42" s="388"/>
      <c r="AD42" s="386"/>
      <c r="AE42" s="387"/>
      <c r="AF42" s="387"/>
      <c r="AG42" s="387"/>
      <c r="AH42" s="387"/>
      <c r="AI42" s="387"/>
      <c r="AJ42" s="387"/>
      <c r="AK42" s="387"/>
      <c r="AL42" s="387"/>
      <c r="AM42" s="388"/>
      <c r="AN42" s="386"/>
      <c r="AO42" s="387"/>
      <c r="AP42" s="387"/>
      <c r="AQ42" s="388"/>
      <c r="AR42" s="398"/>
      <c r="AS42" s="386"/>
      <c r="AT42" s="388"/>
      <c r="AX42" s="307">
        <f>AX41+1</f>
        <v>40</v>
      </c>
    </row>
    <row r="43" spans="1:50" ht="11.1" customHeight="1" x14ac:dyDescent="0.25">
      <c r="A43" s="214">
        <v>39</v>
      </c>
      <c r="B43" s="386"/>
      <c r="C43" s="387"/>
      <c r="D43" s="387"/>
      <c r="E43" s="387"/>
      <c r="F43" s="387"/>
      <c r="G43" s="388"/>
      <c r="H43" s="386"/>
      <c r="I43" s="387"/>
      <c r="J43" s="387"/>
      <c r="K43" s="387"/>
      <c r="L43" s="388"/>
      <c r="M43" s="386"/>
      <c r="N43" s="387"/>
      <c r="O43" s="387"/>
      <c r="P43" s="387"/>
      <c r="Q43" s="387"/>
      <c r="R43" s="387"/>
      <c r="S43" s="387"/>
      <c r="T43" s="387"/>
      <c r="U43" s="388"/>
      <c r="V43" s="386"/>
      <c r="W43" s="388"/>
      <c r="X43" s="397"/>
      <c r="Y43" s="386"/>
      <c r="Z43" s="387"/>
      <c r="AA43" s="387"/>
      <c r="AB43" s="387"/>
      <c r="AC43" s="388"/>
      <c r="AD43" s="386"/>
      <c r="AE43" s="387"/>
      <c r="AF43" s="387"/>
      <c r="AG43" s="387"/>
      <c r="AH43" s="387"/>
      <c r="AI43" s="387"/>
      <c r="AJ43" s="387"/>
      <c r="AK43" s="387"/>
      <c r="AL43" s="387"/>
      <c r="AM43" s="388"/>
      <c r="AN43" s="386"/>
      <c r="AO43" s="387"/>
      <c r="AP43" s="387"/>
      <c r="AQ43" s="388"/>
      <c r="AR43" s="398"/>
      <c r="AS43" s="386"/>
      <c r="AT43" s="388"/>
      <c r="AX43" s="300"/>
    </row>
    <row r="44" spans="1:50" ht="11.1" customHeight="1" thickBot="1" x14ac:dyDescent="0.3">
      <c r="A44" s="282">
        <v>40</v>
      </c>
      <c r="B44" s="389"/>
      <c r="C44" s="390"/>
      <c r="D44" s="390"/>
      <c r="E44" s="390"/>
      <c r="F44" s="390"/>
      <c r="G44" s="391"/>
      <c r="H44" s="389"/>
      <c r="I44" s="390"/>
      <c r="J44" s="390"/>
      <c r="K44" s="390"/>
      <c r="L44" s="391"/>
      <c r="M44" s="389"/>
      <c r="N44" s="390"/>
      <c r="O44" s="390"/>
      <c r="P44" s="390"/>
      <c r="Q44" s="390"/>
      <c r="R44" s="390"/>
      <c r="S44" s="390"/>
      <c r="T44" s="390"/>
      <c r="U44" s="391"/>
      <c r="V44" s="389"/>
      <c r="W44" s="391"/>
      <c r="X44" s="399"/>
      <c r="Y44" s="389"/>
      <c r="Z44" s="390"/>
      <c r="AA44" s="390"/>
      <c r="AB44" s="390"/>
      <c r="AC44" s="391"/>
      <c r="AD44" s="389"/>
      <c r="AE44" s="390"/>
      <c r="AF44" s="390"/>
      <c r="AG44" s="390"/>
      <c r="AH44" s="390"/>
      <c r="AI44" s="390"/>
      <c r="AJ44" s="390"/>
      <c r="AK44" s="390"/>
      <c r="AL44" s="390"/>
      <c r="AM44" s="391"/>
      <c r="AN44" s="389"/>
      <c r="AO44" s="390"/>
      <c r="AP44" s="390"/>
      <c r="AQ44" s="391"/>
      <c r="AR44" s="400"/>
      <c r="AS44" s="389"/>
      <c r="AT44" s="391"/>
      <c r="AX44" s="300"/>
    </row>
    <row r="45" spans="1:50" ht="11.1" customHeight="1" thickBot="1" x14ac:dyDescent="0.3">
      <c r="A45" s="283" t="s">
        <v>43</v>
      </c>
      <c r="B45" s="284">
        <f>SUM(B5:B44)</f>
        <v>6</v>
      </c>
      <c r="C45" s="285">
        <f t="shared" ref="C45:AT45" si="33">SUM(C5:C44)</f>
        <v>6</v>
      </c>
      <c r="D45" s="285">
        <f t="shared" si="33"/>
        <v>0</v>
      </c>
      <c r="E45" s="285">
        <f t="shared" si="33"/>
        <v>2</v>
      </c>
      <c r="F45" s="285">
        <f t="shared" si="33"/>
        <v>2</v>
      </c>
      <c r="G45" s="286">
        <f t="shared" si="33"/>
        <v>1</v>
      </c>
      <c r="H45" s="284">
        <f t="shared" si="33"/>
        <v>4</v>
      </c>
      <c r="I45" s="285">
        <f t="shared" si="33"/>
        <v>0</v>
      </c>
      <c r="J45" s="285">
        <f t="shared" si="33"/>
        <v>4</v>
      </c>
      <c r="K45" s="285">
        <f t="shared" si="33"/>
        <v>1</v>
      </c>
      <c r="L45" s="286">
        <f t="shared" si="33"/>
        <v>1</v>
      </c>
      <c r="M45" s="284">
        <f t="shared" si="33"/>
        <v>175</v>
      </c>
      <c r="N45" s="285">
        <f t="shared" si="33"/>
        <v>5</v>
      </c>
      <c r="O45" s="285">
        <f t="shared" si="33"/>
        <v>4</v>
      </c>
      <c r="P45" s="285">
        <f t="shared" si="33"/>
        <v>3</v>
      </c>
      <c r="Q45" s="285">
        <f t="shared" si="33"/>
        <v>2</v>
      </c>
      <c r="R45" s="285">
        <f t="shared" si="33"/>
        <v>2</v>
      </c>
      <c r="S45" s="285">
        <f t="shared" si="33"/>
        <v>2</v>
      </c>
      <c r="T45" s="285">
        <f t="shared" si="33"/>
        <v>0</v>
      </c>
      <c r="U45" s="286">
        <f t="shared" si="33"/>
        <v>0</v>
      </c>
      <c r="V45" s="284">
        <f t="shared" si="33"/>
        <v>1</v>
      </c>
      <c r="W45" s="286">
        <f t="shared" si="33"/>
        <v>1</v>
      </c>
      <c r="X45" s="280"/>
      <c r="Y45" s="284">
        <f t="shared" si="33"/>
        <v>1</v>
      </c>
      <c r="Z45" s="285">
        <f t="shared" si="33"/>
        <v>1</v>
      </c>
      <c r="AA45" s="285">
        <f t="shared" si="33"/>
        <v>1</v>
      </c>
      <c r="AB45" s="285">
        <f t="shared" si="33"/>
        <v>0</v>
      </c>
      <c r="AC45" s="286">
        <f t="shared" si="33"/>
        <v>0</v>
      </c>
      <c r="AD45" s="284">
        <f t="shared" si="33"/>
        <v>1</v>
      </c>
      <c r="AE45" s="285">
        <f t="shared" si="33"/>
        <v>1</v>
      </c>
      <c r="AF45" s="285">
        <f t="shared" si="33"/>
        <v>1</v>
      </c>
      <c r="AG45" s="285">
        <f t="shared" si="33"/>
        <v>1</v>
      </c>
      <c r="AH45" s="285">
        <f t="shared" si="33"/>
        <v>1</v>
      </c>
      <c r="AI45" s="285">
        <f t="shared" si="33"/>
        <v>1</v>
      </c>
      <c r="AJ45" s="285">
        <f t="shared" si="33"/>
        <v>1</v>
      </c>
      <c r="AK45" s="285">
        <f t="shared" si="33"/>
        <v>1</v>
      </c>
      <c r="AL45" s="285">
        <f t="shared" si="33"/>
        <v>1</v>
      </c>
      <c r="AM45" s="286">
        <f t="shared" si="33"/>
        <v>0</v>
      </c>
      <c r="AN45" s="284">
        <f t="shared" si="33"/>
        <v>0</v>
      </c>
      <c r="AO45" s="285">
        <f t="shared" si="33"/>
        <v>0</v>
      </c>
      <c r="AP45" s="285">
        <f t="shared" si="33"/>
        <v>0</v>
      </c>
      <c r="AQ45" s="286">
        <f t="shared" si="33"/>
        <v>0</v>
      </c>
      <c r="AR45" s="281"/>
      <c r="AS45" s="284">
        <f t="shared" si="33"/>
        <v>0</v>
      </c>
      <c r="AT45" s="286">
        <f t="shared" si="33"/>
        <v>0</v>
      </c>
      <c r="AX45" s="300"/>
    </row>
    <row r="46" spans="1:50" ht="9.9499999999999993" customHeight="1" x14ac:dyDescent="0.25">
      <c r="AX46" s="300"/>
    </row>
    <row r="47" spans="1:50" ht="9.9499999999999993" hidden="1" customHeight="1" thickBot="1" x14ac:dyDescent="0.3">
      <c r="A47" s="365" t="s">
        <v>14</v>
      </c>
      <c r="B47" s="582" t="s">
        <v>42</v>
      </c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5"/>
      <c r="Y47" s="585"/>
      <c r="Z47" s="585"/>
      <c r="AA47" s="585"/>
      <c r="AB47" s="585"/>
      <c r="AC47" s="585"/>
      <c r="AD47" s="585"/>
      <c r="AE47" s="585"/>
      <c r="AF47" s="585"/>
      <c r="AG47" s="585"/>
      <c r="AH47" s="585"/>
      <c r="AI47" s="585"/>
      <c r="AJ47" s="585"/>
      <c r="AK47" s="585"/>
      <c r="AL47" s="585"/>
      <c r="AM47" s="585"/>
      <c r="AN47" s="585"/>
      <c r="AO47" s="585"/>
      <c r="AP47" s="585"/>
      <c r="AQ47" s="585"/>
      <c r="AR47" s="585"/>
      <c r="AS47" s="585"/>
      <c r="AT47" s="586"/>
      <c r="AX47" s="300"/>
    </row>
    <row r="48" spans="1:50" ht="9.9499999999999993" hidden="1" customHeight="1" thickBot="1" x14ac:dyDescent="0.3">
      <c r="A48" s="283" t="s">
        <v>17</v>
      </c>
      <c r="B48" s="297">
        <f>VLOOKUP($AV$2,AVAILABLE_Buildings_Resource[#All],MATCH(B$2,AVAILABLE_Buildings_Resource[#Headers],0)+1)</f>
        <v>11</v>
      </c>
      <c r="C48" s="299">
        <f>VLOOKUP($AV$2,AVAILABLE_Buildings_Resource[#All],MATCH(C$2,AVAILABLE_Buildings_Resource[#Headers],0)+1)</f>
        <v>11</v>
      </c>
      <c r="D48" s="299">
        <f>VLOOKUP($AV$2,AVAILABLE_Buildings_Resource[#All],MATCH(D$2,AVAILABLE_Buildings_Resource[#Headers],0)+1)</f>
        <v>0</v>
      </c>
      <c r="E48" s="299">
        <f>VLOOKUP($AV$2,AVAILABLE_Buildings_Resource[#All],MATCH(E$2,AVAILABLE_Buildings_Resource[#Headers],0)+1)</f>
        <v>11</v>
      </c>
      <c r="F48" s="299">
        <f>VLOOKUP($AV$2,AVAILABLE_Buildings_Resource[#All],MATCH(F$2,AVAILABLE_Buildings_Resource[#Headers],0)+1)</f>
        <v>11</v>
      </c>
      <c r="G48" s="298">
        <f>VLOOKUP($AV$2,AVAILABLE_Buildings_Resource[#All],MATCH(G$2,AVAILABLE_Buildings_Resource[#Headers],0)+1)</f>
        <v>2</v>
      </c>
      <c r="H48" s="297">
        <f>VLOOKUP($AV$2,AVAILABLE_Buildings_Army[#All],MATCH(H$2,AVAILABLE_Buildings_Army[#Headers],0)+1)</f>
        <v>9</v>
      </c>
      <c r="I48" s="299">
        <f>VLOOKUP($AV$2,AVAILABLE_Buildings_Army[#All],MATCH(I$2,AVAILABLE_Buildings_Army[#Headers],0)+1)</f>
        <v>2</v>
      </c>
      <c r="J48" s="299">
        <f>VLOOKUP($AV$2,AVAILABLE_Buildings_Army[#All],MATCH(J$2,AVAILABLE_Buildings_Army[#Headers],0)+1)</f>
        <v>6</v>
      </c>
      <c r="K48" s="299">
        <f>VLOOKUP($AV$2,AVAILABLE_Buildings_Army[#All],MATCH(K$2,AVAILABLE_Buildings_Army[#Headers],0)+1)</f>
        <v>5</v>
      </c>
      <c r="L48" s="298">
        <f>VLOOKUP($AV$2,AVAILABLE_Buildings_Army[#All],MATCH(L$2,AVAILABLE_Buildings_Army[#Headers],0)+1)</f>
        <v>3</v>
      </c>
      <c r="M48" s="297">
        <f>VLOOKUP($AV$2,AVAILABLE_Buildings_Defensive[#All],MATCH(M$2,AVAILABLE_Buildings_Defensive[#Headers],0)+1)</f>
        <v>7</v>
      </c>
      <c r="N48" s="299">
        <f>VLOOKUP($AV$2,AVAILABLE_Buildings_Defensive[#All],MATCH(N$2,AVAILABLE_Buildings_Defensive[#Headers],0)+1)</f>
        <v>8</v>
      </c>
      <c r="O48" s="299">
        <f>VLOOKUP($AV$2,AVAILABLE_Buildings_Defensive[#All],MATCH(O$2,AVAILABLE_Buildings_Defensive[#Headers],0)+1)</f>
        <v>8</v>
      </c>
      <c r="P48" s="299">
        <f>VLOOKUP($AV$2,AVAILABLE_Buildings_Defensive[#All],MATCH(P$2,AVAILABLE_Buildings_Defensive[#Headers],0)+1)</f>
        <v>5</v>
      </c>
      <c r="Q48" s="299">
        <f>VLOOKUP($AV$2,AVAILABLE_Buildings_Defensive[#All],MATCH(Q$2,AVAILABLE_Buildings_Defensive[#Headers],0)+1)</f>
        <v>5</v>
      </c>
      <c r="R48" s="299">
        <f>VLOOKUP($AV$2,AVAILABLE_Buildings_Defensive[#All],MATCH(R$2,AVAILABLE_Buildings_Defensive[#Headers],0)+1)</f>
        <v>4</v>
      </c>
      <c r="S48" s="299">
        <f>VLOOKUP($AV$2,AVAILABLE_Buildings_Defensive[#All],MATCH(S$2,AVAILABLE_Buildings_Defensive[#Headers],0)+1)</f>
        <v>3</v>
      </c>
      <c r="T48" s="299">
        <f>VLOOKUP($AV$2,AVAILABLE_Buildings_Defensive[#All],MATCH(T$2,AVAILABLE_Buildings_Defensive[#Headers],0)+1)</f>
        <v>0</v>
      </c>
      <c r="U48" s="298">
        <f>VLOOKUP($AV$2,AVAILABLE_Buildings_Defensive[#All],MATCH(U$2,AVAILABLE_Buildings_Defensive[#Headers],0)+1)</f>
        <v>0</v>
      </c>
      <c r="V48" s="297">
        <f>VLOOKUP($AV$2,AVAILABLE_Buildings_Other[#All],MATCH(V$2,AVAILABLE_Buildings_Other[#Headers],0)+1)</f>
        <v>3</v>
      </c>
      <c r="W48" s="298">
        <f>VLOOKUP($AV$2,AVAILABLE_Buildings_Other[#All],MATCH(W$2,AVAILABLE_Buildings_Other[#Headers],0)+1)</f>
        <v>8</v>
      </c>
      <c r="X48" s="361"/>
      <c r="Y48" s="297">
        <f>VLOOKUP($AV$2,AVAILABLE_Upgrades_Spells[#All],MATCH(Y$2,AVAILABLE_Upgrades_Spells[#Headers],0)+1)</f>
        <v>4</v>
      </c>
      <c r="Z48" s="299">
        <f>VLOOKUP($AV$2,AVAILABLE_Upgrades_Spells[#All],MATCH(Z$2,AVAILABLE_Upgrades_Spells[#Headers],0)+1)</f>
        <v>4</v>
      </c>
      <c r="AA48" s="299">
        <f>VLOOKUP($AV$2,AVAILABLE_Upgrades_Spells[#All],MATCH(AA$2,AVAILABLE_Upgrades_Spells[#Headers],0)+1)</f>
        <v>4</v>
      </c>
      <c r="AB48" s="299">
        <f>VLOOKUP($AV$2,AVAILABLE_Upgrades_Spells[#All],MATCH(AB$2,AVAILABLE_Upgrades_Spells[#Headers],0)+1)</f>
        <v>1</v>
      </c>
      <c r="AC48" s="298">
        <f>VLOOKUP($AV$2,AVAILABLE_Upgrades_Spells[#All],MATCH(AC$2,AVAILABLE_Upgrades_Spells[#Headers],0)+1)</f>
        <v>0</v>
      </c>
      <c r="AD48" s="297">
        <f>VLOOKUP($AV$2,AVAILABLE_Upgrades_Normal_Troops[#All],MATCH(AD$2,AVAILABLE_Upgrades_Normal_Troops[#Headers],0)+1)</f>
        <v>4</v>
      </c>
      <c r="AE48" s="299">
        <f>VLOOKUP($AV$2,AVAILABLE_Upgrades_Normal_Troops[#All],MATCH(AE$2,AVAILABLE_Upgrades_Normal_Troops[#Headers],0)+1)</f>
        <v>4</v>
      </c>
      <c r="AF48" s="299">
        <f>VLOOKUP($AV$2,AVAILABLE_Upgrades_Normal_Troops[#All],MATCH(AF$2,AVAILABLE_Upgrades_Normal_Troops[#Headers],0)+1)</f>
        <v>4</v>
      </c>
      <c r="AG48" s="299">
        <f>VLOOKUP($AV$2,AVAILABLE_Upgrades_Normal_Troops[#All],MATCH(AG$2,AVAILABLE_Upgrades_Normal_Troops[#Headers],0)+1)</f>
        <v>4</v>
      </c>
      <c r="AH48" s="299">
        <f>VLOOKUP($AV$2,AVAILABLE_Upgrades_Normal_Troops[#All],MATCH(AH$2,AVAILABLE_Upgrades_Normal_Troops[#Headers],0)+1)</f>
        <v>4</v>
      </c>
      <c r="AI48" s="299">
        <f>VLOOKUP($AV$2,AVAILABLE_Upgrades_Normal_Troops[#All],MATCH(AI$2,AVAILABLE_Upgrades_Normal_Troops[#Headers],0)+1)</f>
        <v>4</v>
      </c>
      <c r="AJ48" s="299">
        <f>VLOOKUP($AV$2,AVAILABLE_Upgrades_Normal_Troops[#All],MATCH(AJ$2,AVAILABLE_Upgrades_Normal_Troops[#Headers],0)+1)</f>
        <v>4</v>
      </c>
      <c r="AK48" s="299">
        <f>VLOOKUP($AV$2,AVAILABLE_Upgrades_Normal_Troops[#All],MATCH(AK$2,AVAILABLE_Upgrades_Normal_Troops[#Headers],0)+1)</f>
        <v>2</v>
      </c>
      <c r="AL48" s="299">
        <f>VLOOKUP($AV$2,AVAILABLE_Upgrades_Normal_Troops[#All],MATCH(AL$2,AVAILABLE_Upgrades_Normal_Troops[#Headers],0)+1)</f>
        <v>2</v>
      </c>
      <c r="AM48" s="298">
        <f>VLOOKUP($AV$2,AVAILABLE_Upgrades_Normal_Troops[#All],MATCH(AM$2,AVAILABLE_Upgrades_Normal_Troops[#Headers],0)+1)</f>
        <v>0</v>
      </c>
      <c r="AN48" s="297">
        <f>VLOOKUP($AV$2,AVAILABLE_Upgrades_Dark_Troops[#All],MATCH(AN$2,AVAILABLE_Upgrades_Dark_Troops[#Headers],0)+1)</f>
        <v>2</v>
      </c>
      <c r="AO48" s="299">
        <f>VLOOKUP($AV$2,AVAILABLE_Upgrades_Dark_Troops[#All],MATCH(AO$2,AVAILABLE_Upgrades_Dark_Troops[#Headers],0)+1)</f>
        <v>2</v>
      </c>
      <c r="AP48" s="299">
        <f>VLOOKUP($AV$2,AVAILABLE_Upgrades_Dark_Troops[#All],MATCH(AP$2,AVAILABLE_Upgrades_Dark_Troops[#Headers],0)+1)</f>
        <v>0</v>
      </c>
      <c r="AQ48" s="298">
        <f>VLOOKUP($AV$2,AVAILABLE_Upgrades_Dark_Troops[#All],MATCH(AQ$2,AVAILABLE_Upgrades_Dark_Troops[#Headers],0)+1)</f>
        <v>0</v>
      </c>
      <c r="AR48" s="361"/>
      <c r="AS48" s="297">
        <f>VLOOKUP($AV$2,AVAILABLE_Heroes[#All],MATCH(AS$2,AVAILABLE_Heroes[#Headers],0)+1)</f>
        <v>5</v>
      </c>
      <c r="AT48" s="298">
        <f>VLOOKUP($AV$2,AVAILABLE_Heroes[#All],MATCH(AT$2,AVAILABLE_Heroes[#Headers],0)+1)</f>
        <v>0</v>
      </c>
      <c r="AX48" s="300"/>
    </row>
    <row r="49" spans="1:50" ht="9.9499999999999993" hidden="1" customHeight="1" x14ac:dyDescent="0.25">
      <c r="A49" s="222">
        <v>1</v>
      </c>
      <c r="B49" s="349" t="str">
        <f>IF($A49&gt;B$48,"KO","OK")</f>
        <v>OK</v>
      </c>
      <c r="C49" s="350" t="str">
        <f t="shared" ref="C49:W64" si="34">IF($A49&gt;C$48,"KO","OK")</f>
        <v>OK</v>
      </c>
      <c r="D49" s="350" t="str">
        <f t="shared" si="34"/>
        <v>KO</v>
      </c>
      <c r="E49" s="350" t="str">
        <f t="shared" si="34"/>
        <v>OK</v>
      </c>
      <c r="F49" s="350" t="str">
        <f t="shared" si="34"/>
        <v>OK</v>
      </c>
      <c r="G49" s="351" t="str">
        <f t="shared" si="34"/>
        <v>OK</v>
      </c>
      <c r="H49" s="349" t="str">
        <f t="shared" si="34"/>
        <v>OK</v>
      </c>
      <c r="I49" s="350" t="str">
        <f t="shared" si="34"/>
        <v>OK</v>
      </c>
      <c r="J49" s="350" t="str">
        <f t="shared" si="34"/>
        <v>OK</v>
      </c>
      <c r="K49" s="350" t="str">
        <f t="shared" si="34"/>
        <v>OK</v>
      </c>
      <c r="L49" s="351" t="str">
        <f t="shared" si="34"/>
        <v>OK</v>
      </c>
      <c r="M49" s="349" t="str">
        <f t="shared" si="34"/>
        <v>OK</v>
      </c>
      <c r="N49" s="350" t="str">
        <f t="shared" si="34"/>
        <v>OK</v>
      </c>
      <c r="O49" s="350" t="str">
        <f t="shared" si="34"/>
        <v>OK</v>
      </c>
      <c r="P49" s="350" t="str">
        <f t="shared" si="34"/>
        <v>OK</v>
      </c>
      <c r="Q49" s="350" t="str">
        <f t="shared" si="34"/>
        <v>OK</v>
      </c>
      <c r="R49" s="350" t="str">
        <f t="shared" si="34"/>
        <v>OK</v>
      </c>
      <c r="S49" s="350" t="str">
        <f t="shared" si="34"/>
        <v>OK</v>
      </c>
      <c r="T49" s="350" t="str">
        <f t="shared" si="34"/>
        <v>KO</v>
      </c>
      <c r="U49" s="351" t="str">
        <f t="shared" si="34"/>
        <v>KO</v>
      </c>
      <c r="V49" s="349" t="str">
        <f t="shared" si="34"/>
        <v>OK</v>
      </c>
      <c r="W49" s="351" t="str">
        <f t="shared" si="34"/>
        <v>OK</v>
      </c>
      <c r="X49" s="362"/>
      <c r="Y49" s="349" t="str">
        <f>IF($A49&gt;Y$48,"KO","OK")</f>
        <v>OK</v>
      </c>
      <c r="Z49" s="350" t="str">
        <f t="shared" ref="Z49:AQ63" si="35">IF($A49&gt;Z$48,"KO","OK")</f>
        <v>OK</v>
      </c>
      <c r="AA49" s="350" t="str">
        <f t="shared" si="35"/>
        <v>OK</v>
      </c>
      <c r="AB49" s="350" t="str">
        <f t="shared" si="35"/>
        <v>OK</v>
      </c>
      <c r="AC49" s="351" t="str">
        <f t="shared" si="35"/>
        <v>KO</v>
      </c>
      <c r="AD49" s="349" t="str">
        <f t="shared" si="35"/>
        <v>OK</v>
      </c>
      <c r="AE49" s="350" t="str">
        <f t="shared" si="35"/>
        <v>OK</v>
      </c>
      <c r="AF49" s="350" t="str">
        <f t="shared" si="35"/>
        <v>OK</v>
      </c>
      <c r="AG49" s="350" t="str">
        <f t="shared" si="35"/>
        <v>OK</v>
      </c>
      <c r="AH49" s="350" t="str">
        <f t="shared" si="35"/>
        <v>OK</v>
      </c>
      <c r="AI49" s="350" t="str">
        <f t="shared" si="35"/>
        <v>OK</v>
      </c>
      <c r="AJ49" s="350" t="str">
        <f t="shared" si="35"/>
        <v>OK</v>
      </c>
      <c r="AK49" s="350" t="str">
        <f t="shared" si="35"/>
        <v>OK</v>
      </c>
      <c r="AL49" s="350" t="str">
        <f t="shared" si="35"/>
        <v>OK</v>
      </c>
      <c r="AM49" s="351" t="str">
        <f t="shared" si="35"/>
        <v>KO</v>
      </c>
      <c r="AN49" s="349" t="str">
        <f t="shared" si="35"/>
        <v>OK</v>
      </c>
      <c r="AO49" s="350" t="str">
        <f t="shared" si="35"/>
        <v>OK</v>
      </c>
      <c r="AP49" s="350" t="str">
        <f t="shared" si="35"/>
        <v>KO</v>
      </c>
      <c r="AQ49" s="351" t="str">
        <f t="shared" si="35"/>
        <v>KO</v>
      </c>
      <c r="AR49" s="362"/>
      <c r="AS49" s="349" t="str">
        <f>IF($A49&gt;AS$48,"KO","OK")</f>
        <v>OK</v>
      </c>
      <c r="AT49" s="351" t="str">
        <f>IF($A49&gt;AT$48,"KO","OK")</f>
        <v>KO</v>
      </c>
      <c r="AX49" s="300"/>
    </row>
    <row r="50" spans="1:50" ht="9.9499999999999993" hidden="1" customHeight="1" x14ac:dyDescent="0.25">
      <c r="A50" s="214">
        <v>2</v>
      </c>
      <c r="B50" s="352" t="str">
        <f t="shared" ref="B50:Q88" si="36">IF($A50&gt;B$48,"KO","OK")</f>
        <v>OK</v>
      </c>
      <c r="C50" s="353" t="str">
        <f t="shared" si="36"/>
        <v>OK</v>
      </c>
      <c r="D50" s="353" t="str">
        <f t="shared" si="36"/>
        <v>KO</v>
      </c>
      <c r="E50" s="353" t="str">
        <f t="shared" si="36"/>
        <v>OK</v>
      </c>
      <c r="F50" s="353" t="str">
        <f t="shared" si="36"/>
        <v>OK</v>
      </c>
      <c r="G50" s="354" t="str">
        <f t="shared" si="36"/>
        <v>OK</v>
      </c>
      <c r="H50" s="352" t="str">
        <f t="shared" si="36"/>
        <v>OK</v>
      </c>
      <c r="I50" s="353" t="str">
        <f t="shared" si="36"/>
        <v>OK</v>
      </c>
      <c r="J50" s="353" t="str">
        <f t="shared" si="36"/>
        <v>OK</v>
      </c>
      <c r="K50" s="353" t="str">
        <f t="shared" si="36"/>
        <v>OK</v>
      </c>
      <c r="L50" s="354" t="str">
        <f t="shared" si="36"/>
        <v>OK</v>
      </c>
      <c r="M50" s="352" t="str">
        <f t="shared" si="36"/>
        <v>OK</v>
      </c>
      <c r="N50" s="353" t="str">
        <f t="shared" si="36"/>
        <v>OK</v>
      </c>
      <c r="O50" s="353" t="str">
        <f t="shared" si="36"/>
        <v>OK</v>
      </c>
      <c r="P50" s="353" t="str">
        <f t="shared" si="36"/>
        <v>OK</v>
      </c>
      <c r="Q50" s="353" t="str">
        <f t="shared" si="36"/>
        <v>OK</v>
      </c>
      <c r="R50" s="353" t="str">
        <f t="shared" si="34"/>
        <v>OK</v>
      </c>
      <c r="S50" s="353" t="str">
        <f t="shared" si="34"/>
        <v>OK</v>
      </c>
      <c r="T50" s="353" t="str">
        <f t="shared" si="34"/>
        <v>KO</v>
      </c>
      <c r="U50" s="354" t="str">
        <f t="shared" si="34"/>
        <v>KO</v>
      </c>
      <c r="V50" s="352" t="str">
        <f t="shared" si="34"/>
        <v>OK</v>
      </c>
      <c r="W50" s="354" t="str">
        <f t="shared" si="34"/>
        <v>OK</v>
      </c>
      <c r="X50" s="363"/>
      <c r="Y50" s="352" t="str">
        <f t="shared" ref="Y50:AN88" si="37">IF($A50&gt;Y$48,"KO","OK")</f>
        <v>OK</v>
      </c>
      <c r="Z50" s="353" t="str">
        <f t="shared" si="37"/>
        <v>OK</v>
      </c>
      <c r="AA50" s="353" t="str">
        <f t="shared" si="37"/>
        <v>OK</v>
      </c>
      <c r="AB50" s="353" t="str">
        <f t="shared" si="37"/>
        <v>KO</v>
      </c>
      <c r="AC50" s="354" t="str">
        <f t="shared" si="37"/>
        <v>KO</v>
      </c>
      <c r="AD50" s="352" t="str">
        <f t="shared" si="37"/>
        <v>OK</v>
      </c>
      <c r="AE50" s="353" t="str">
        <f t="shared" si="37"/>
        <v>OK</v>
      </c>
      <c r="AF50" s="353" t="str">
        <f t="shared" si="37"/>
        <v>OK</v>
      </c>
      <c r="AG50" s="353" t="str">
        <f t="shared" si="37"/>
        <v>OK</v>
      </c>
      <c r="AH50" s="353" t="str">
        <f t="shared" si="37"/>
        <v>OK</v>
      </c>
      <c r="AI50" s="353" t="str">
        <f t="shared" si="37"/>
        <v>OK</v>
      </c>
      <c r="AJ50" s="353" t="str">
        <f t="shared" si="37"/>
        <v>OK</v>
      </c>
      <c r="AK50" s="353" t="str">
        <f t="shared" si="37"/>
        <v>OK</v>
      </c>
      <c r="AL50" s="353" t="str">
        <f t="shared" si="37"/>
        <v>OK</v>
      </c>
      <c r="AM50" s="354" t="str">
        <f t="shared" si="37"/>
        <v>KO</v>
      </c>
      <c r="AN50" s="352" t="str">
        <f t="shared" si="37"/>
        <v>OK</v>
      </c>
      <c r="AO50" s="353" t="str">
        <f t="shared" si="35"/>
        <v>OK</v>
      </c>
      <c r="AP50" s="353" t="str">
        <f t="shared" si="35"/>
        <v>KO</v>
      </c>
      <c r="AQ50" s="354" t="str">
        <f t="shared" si="35"/>
        <v>KO</v>
      </c>
      <c r="AR50" s="363"/>
      <c r="AS50" s="352" t="str">
        <f t="shared" ref="AS50:AT88" si="38">IF($A50&gt;AS$48,"KO","OK")</f>
        <v>OK</v>
      </c>
      <c r="AT50" s="354" t="str">
        <f t="shared" si="38"/>
        <v>KO</v>
      </c>
      <c r="AX50" s="300"/>
    </row>
    <row r="51" spans="1:50" ht="9.9499999999999993" hidden="1" customHeight="1" x14ac:dyDescent="0.25">
      <c r="A51" s="214">
        <v>3</v>
      </c>
      <c r="B51" s="352" t="str">
        <f t="shared" si="36"/>
        <v>OK</v>
      </c>
      <c r="C51" s="353" t="str">
        <f t="shared" si="36"/>
        <v>OK</v>
      </c>
      <c r="D51" s="353" t="str">
        <f t="shared" si="36"/>
        <v>KO</v>
      </c>
      <c r="E51" s="353" t="str">
        <f t="shared" si="36"/>
        <v>OK</v>
      </c>
      <c r="F51" s="353" t="str">
        <f t="shared" si="36"/>
        <v>OK</v>
      </c>
      <c r="G51" s="354" t="str">
        <f t="shared" si="36"/>
        <v>KO</v>
      </c>
      <c r="H51" s="352" t="str">
        <f t="shared" si="34"/>
        <v>OK</v>
      </c>
      <c r="I51" s="353" t="str">
        <f t="shared" si="34"/>
        <v>KO</v>
      </c>
      <c r="J51" s="353" t="str">
        <f t="shared" si="34"/>
        <v>OK</v>
      </c>
      <c r="K51" s="353" t="str">
        <f t="shared" si="34"/>
        <v>OK</v>
      </c>
      <c r="L51" s="354" t="str">
        <f t="shared" si="34"/>
        <v>OK</v>
      </c>
      <c r="M51" s="352" t="str">
        <f t="shared" si="34"/>
        <v>OK</v>
      </c>
      <c r="N51" s="353" t="str">
        <f t="shared" si="34"/>
        <v>OK</v>
      </c>
      <c r="O51" s="353" t="str">
        <f t="shared" si="34"/>
        <v>OK</v>
      </c>
      <c r="P51" s="353" t="str">
        <f t="shared" si="34"/>
        <v>OK</v>
      </c>
      <c r="Q51" s="353" t="str">
        <f t="shared" si="34"/>
        <v>OK</v>
      </c>
      <c r="R51" s="353" t="str">
        <f t="shared" si="34"/>
        <v>OK</v>
      </c>
      <c r="S51" s="353" t="str">
        <f t="shared" si="34"/>
        <v>OK</v>
      </c>
      <c r="T51" s="353" t="str">
        <f t="shared" si="34"/>
        <v>KO</v>
      </c>
      <c r="U51" s="354" t="str">
        <f t="shared" si="34"/>
        <v>KO</v>
      </c>
      <c r="V51" s="352" t="str">
        <f t="shared" si="34"/>
        <v>OK</v>
      </c>
      <c r="W51" s="354" t="str">
        <f t="shared" si="34"/>
        <v>OK</v>
      </c>
      <c r="X51" s="363"/>
      <c r="Y51" s="352" t="str">
        <f t="shared" si="37"/>
        <v>OK</v>
      </c>
      <c r="Z51" s="353" t="str">
        <f t="shared" si="35"/>
        <v>OK</v>
      </c>
      <c r="AA51" s="353" t="str">
        <f t="shared" si="35"/>
        <v>OK</v>
      </c>
      <c r="AB51" s="353" t="str">
        <f t="shared" si="35"/>
        <v>KO</v>
      </c>
      <c r="AC51" s="354" t="str">
        <f t="shared" si="35"/>
        <v>KO</v>
      </c>
      <c r="AD51" s="352" t="str">
        <f t="shared" si="35"/>
        <v>OK</v>
      </c>
      <c r="AE51" s="353" t="str">
        <f t="shared" si="35"/>
        <v>OK</v>
      </c>
      <c r="AF51" s="353" t="str">
        <f t="shared" si="35"/>
        <v>OK</v>
      </c>
      <c r="AG51" s="353" t="str">
        <f t="shared" si="35"/>
        <v>OK</v>
      </c>
      <c r="AH51" s="353" t="str">
        <f t="shared" si="35"/>
        <v>OK</v>
      </c>
      <c r="AI51" s="353" t="str">
        <f t="shared" si="35"/>
        <v>OK</v>
      </c>
      <c r="AJ51" s="353" t="str">
        <f t="shared" si="35"/>
        <v>OK</v>
      </c>
      <c r="AK51" s="353" t="str">
        <f t="shared" si="35"/>
        <v>KO</v>
      </c>
      <c r="AL51" s="353" t="str">
        <f t="shared" si="35"/>
        <v>KO</v>
      </c>
      <c r="AM51" s="354" t="str">
        <f t="shared" si="35"/>
        <v>KO</v>
      </c>
      <c r="AN51" s="352" t="str">
        <f t="shared" si="35"/>
        <v>KO</v>
      </c>
      <c r="AO51" s="353" t="str">
        <f t="shared" si="35"/>
        <v>KO</v>
      </c>
      <c r="AP51" s="353" t="str">
        <f t="shared" si="35"/>
        <v>KO</v>
      </c>
      <c r="AQ51" s="354" t="str">
        <f t="shared" si="35"/>
        <v>KO</v>
      </c>
      <c r="AR51" s="363"/>
      <c r="AS51" s="352" t="str">
        <f t="shared" si="38"/>
        <v>OK</v>
      </c>
      <c r="AT51" s="354" t="str">
        <f t="shared" si="38"/>
        <v>KO</v>
      </c>
      <c r="AX51" s="300"/>
    </row>
    <row r="52" spans="1:50" ht="9.9499999999999993" hidden="1" customHeight="1" x14ac:dyDescent="0.25">
      <c r="A52" s="214">
        <v>4</v>
      </c>
      <c r="B52" s="352" t="str">
        <f t="shared" si="36"/>
        <v>OK</v>
      </c>
      <c r="C52" s="353" t="str">
        <f t="shared" si="36"/>
        <v>OK</v>
      </c>
      <c r="D52" s="353" t="str">
        <f t="shared" si="36"/>
        <v>KO</v>
      </c>
      <c r="E52" s="353" t="str">
        <f t="shared" si="36"/>
        <v>OK</v>
      </c>
      <c r="F52" s="353" t="str">
        <f t="shared" si="36"/>
        <v>OK</v>
      </c>
      <c r="G52" s="354" t="str">
        <f t="shared" si="36"/>
        <v>KO</v>
      </c>
      <c r="H52" s="352" t="str">
        <f t="shared" si="34"/>
        <v>OK</v>
      </c>
      <c r="I52" s="353" t="str">
        <f t="shared" si="34"/>
        <v>KO</v>
      </c>
      <c r="J52" s="353" t="str">
        <f t="shared" si="34"/>
        <v>OK</v>
      </c>
      <c r="K52" s="353" t="str">
        <f t="shared" si="34"/>
        <v>OK</v>
      </c>
      <c r="L52" s="354" t="str">
        <f t="shared" si="34"/>
        <v>KO</v>
      </c>
      <c r="M52" s="352" t="str">
        <f t="shared" si="34"/>
        <v>OK</v>
      </c>
      <c r="N52" s="353" t="str">
        <f t="shared" si="34"/>
        <v>OK</v>
      </c>
      <c r="O52" s="353" t="str">
        <f t="shared" si="34"/>
        <v>OK</v>
      </c>
      <c r="P52" s="353" t="str">
        <f t="shared" si="34"/>
        <v>OK</v>
      </c>
      <c r="Q52" s="353" t="str">
        <f t="shared" si="34"/>
        <v>OK</v>
      </c>
      <c r="R52" s="353" t="str">
        <f t="shared" si="34"/>
        <v>OK</v>
      </c>
      <c r="S52" s="353" t="str">
        <f t="shared" si="34"/>
        <v>KO</v>
      </c>
      <c r="T52" s="353" t="str">
        <f t="shared" si="34"/>
        <v>KO</v>
      </c>
      <c r="U52" s="354" t="str">
        <f t="shared" si="34"/>
        <v>KO</v>
      </c>
      <c r="V52" s="352" t="str">
        <f t="shared" si="34"/>
        <v>KO</v>
      </c>
      <c r="W52" s="354" t="str">
        <f t="shared" si="34"/>
        <v>OK</v>
      </c>
      <c r="X52" s="363"/>
      <c r="Y52" s="352" t="str">
        <f t="shared" si="37"/>
        <v>OK</v>
      </c>
      <c r="Z52" s="353" t="str">
        <f t="shared" si="35"/>
        <v>OK</v>
      </c>
      <c r="AA52" s="353" t="str">
        <f t="shared" si="35"/>
        <v>OK</v>
      </c>
      <c r="AB52" s="353" t="str">
        <f t="shared" si="35"/>
        <v>KO</v>
      </c>
      <c r="AC52" s="354" t="str">
        <f t="shared" si="35"/>
        <v>KO</v>
      </c>
      <c r="AD52" s="352" t="str">
        <f t="shared" si="35"/>
        <v>OK</v>
      </c>
      <c r="AE52" s="353" t="str">
        <f t="shared" si="35"/>
        <v>OK</v>
      </c>
      <c r="AF52" s="353" t="str">
        <f t="shared" si="35"/>
        <v>OK</v>
      </c>
      <c r="AG52" s="353" t="str">
        <f t="shared" si="35"/>
        <v>OK</v>
      </c>
      <c r="AH52" s="353" t="str">
        <f t="shared" si="35"/>
        <v>OK</v>
      </c>
      <c r="AI52" s="353" t="str">
        <f t="shared" si="35"/>
        <v>OK</v>
      </c>
      <c r="AJ52" s="353" t="str">
        <f t="shared" si="35"/>
        <v>OK</v>
      </c>
      <c r="AK52" s="353" t="str">
        <f t="shared" si="35"/>
        <v>KO</v>
      </c>
      <c r="AL52" s="353" t="str">
        <f t="shared" si="35"/>
        <v>KO</v>
      </c>
      <c r="AM52" s="354" t="str">
        <f t="shared" si="35"/>
        <v>KO</v>
      </c>
      <c r="AN52" s="352" t="str">
        <f t="shared" si="35"/>
        <v>KO</v>
      </c>
      <c r="AO52" s="353" t="str">
        <f t="shared" si="35"/>
        <v>KO</v>
      </c>
      <c r="AP52" s="353" t="str">
        <f t="shared" si="35"/>
        <v>KO</v>
      </c>
      <c r="AQ52" s="354" t="str">
        <f t="shared" si="35"/>
        <v>KO</v>
      </c>
      <c r="AR52" s="363"/>
      <c r="AS52" s="352" t="str">
        <f t="shared" si="38"/>
        <v>OK</v>
      </c>
      <c r="AT52" s="354" t="str">
        <f t="shared" si="38"/>
        <v>KO</v>
      </c>
      <c r="AX52" s="300"/>
    </row>
    <row r="53" spans="1:50" ht="9.9499999999999993" hidden="1" customHeight="1" x14ac:dyDescent="0.25">
      <c r="A53" s="214">
        <v>5</v>
      </c>
      <c r="B53" s="352" t="str">
        <f t="shared" si="36"/>
        <v>OK</v>
      </c>
      <c r="C53" s="353" t="str">
        <f t="shared" si="36"/>
        <v>OK</v>
      </c>
      <c r="D53" s="353" t="str">
        <f t="shared" si="36"/>
        <v>KO</v>
      </c>
      <c r="E53" s="353" t="str">
        <f t="shared" si="36"/>
        <v>OK</v>
      </c>
      <c r="F53" s="353" t="str">
        <f t="shared" si="36"/>
        <v>OK</v>
      </c>
      <c r="G53" s="354" t="str">
        <f t="shared" si="36"/>
        <v>KO</v>
      </c>
      <c r="H53" s="352" t="str">
        <f t="shared" si="34"/>
        <v>OK</v>
      </c>
      <c r="I53" s="353" t="str">
        <f t="shared" si="34"/>
        <v>KO</v>
      </c>
      <c r="J53" s="353" t="str">
        <f t="shared" si="34"/>
        <v>OK</v>
      </c>
      <c r="K53" s="353" t="str">
        <f t="shared" si="34"/>
        <v>OK</v>
      </c>
      <c r="L53" s="354" t="str">
        <f t="shared" si="34"/>
        <v>KO</v>
      </c>
      <c r="M53" s="352" t="str">
        <f t="shared" si="34"/>
        <v>OK</v>
      </c>
      <c r="N53" s="353" t="str">
        <f t="shared" si="34"/>
        <v>OK</v>
      </c>
      <c r="O53" s="353" t="str">
        <f t="shared" si="34"/>
        <v>OK</v>
      </c>
      <c r="P53" s="353" t="str">
        <f t="shared" si="34"/>
        <v>OK</v>
      </c>
      <c r="Q53" s="353" t="str">
        <f t="shared" si="34"/>
        <v>OK</v>
      </c>
      <c r="R53" s="353" t="str">
        <f t="shared" si="34"/>
        <v>KO</v>
      </c>
      <c r="S53" s="353" t="str">
        <f t="shared" si="34"/>
        <v>KO</v>
      </c>
      <c r="T53" s="353" t="str">
        <f t="shared" si="34"/>
        <v>KO</v>
      </c>
      <c r="U53" s="354" t="str">
        <f t="shared" si="34"/>
        <v>KO</v>
      </c>
      <c r="V53" s="352" t="str">
        <f t="shared" si="34"/>
        <v>KO</v>
      </c>
      <c r="W53" s="354" t="str">
        <f t="shared" si="34"/>
        <v>OK</v>
      </c>
      <c r="X53" s="363"/>
      <c r="Y53" s="352" t="str">
        <f t="shared" si="37"/>
        <v>KO</v>
      </c>
      <c r="Z53" s="353" t="str">
        <f t="shared" si="35"/>
        <v>KO</v>
      </c>
      <c r="AA53" s="353" t="str">
        <f t="shared" si="35"/>
        <v>KO</v>
      </c>
      <c r="AB53" s="353" t="str">
        <f t="shared" si="35"/>
        <v>KO</v>
      </c>
      <c r="AC53" s="354" t="str">
        <f t="shared" si="35"/>
        <v>KO</v>
      </c>
      <c r="AD53" s="352" t="str">
        <f t="shared" si="35"/>
        <v>KO</v>
      </c>
      <c r="AE53" s="353" t="str">
        <f t="shared" si="35"/>
        <v>KO</v>
      </c>
      <c r="AF53" s="353" t="str">
        <f t="shared" si="35"/>
        <v>KO</v>
      </c>
      <c r="AG53" s="353" t="str">
        <f t="shared" si="35"/>
        <v>KO</v>
      </c>
      <c r="AH53" s="353" t="str">
        <f t="shared" si="35"/>
        <v>KO</v>
      </c>
      <c r="AI53" s="353" t="str">
        <f t="shared" si="35"/>
        <v>KO</v>
      </c>
      <c r="AJ53" s="353" t="str">
        <f t="shared" si="35"/>
        <v>KO</v>
      </c>
      <c r="AK53" s="353" t="str">
        <f t="shared" si="35"/>
        <v>KO</v>
      </c>
      <c r="AL53" s="353" t="str">
        <f t="shared" si="35"/>
        <v>KO</v>
      </c>
      <c r="AM53" s="354" t="str">
        <f t="shared" si="35"/>
        <v>KO</v>
      </c>
      <c r="AN53" s="352" t="str">
        <f t="shared" si="35"/>
        <v>KO</v>
      </c>
      <c r="AO53" s="353" t="str">
        <f t="shared" si="35"/>
        <v>KO</v>
      </c>
      <c r="AP53" s="353" t="str">
        <f t="shared" si="35"/>
        <v>KO</v>
      </c>
      <c r="AQ53" s="354" t="str">
        <f t="shared" si="35"/>
        <v>KO</v>
      </c>
      <c r="AR53" s="363"/>
      <c r="AS53" s="352" t="str">
        <f t="shared" si="38"/>
        <v>OK</v>
      </c>
      <c r="AT53" s="354" t="str">
        <f t="shared" si="38"/>
        <v>KO</v>
      </c>
      <c r="AX53" s="300"/>
    </row>
    <row r="54" spans="1:50" ht="9.9499999999999993" hidden="1" customHeight="1" x14ac:dyDescent="0.25">
      <c r="A54" s="214">
        <v>6</v>
      </c>
      <c r="B54" s="352" t="str">
        <f t="shared" si="36"/>
        <v>OK</v>
      </c>
      <c r="C54" s="353" t="str">
        <f t="shared" si="36"/>
        <v>OK</v>
      </c>
      <c r="D54" s="353" t="str">
        <f t="shared" si="36"/>
        <v>KO</v>
      </c>
      <c r="E54" s="353" t="str">
        <f t="shared" si="36"/>
        <v>OK</v>
      </c>
      <c r="F54" s="353" t="str">
        <f t="shared" si="36"/>
        <v>OK</v>
      </c>
      <c r="G54" s="354" t="str">
        <f t="shared" si="36"/>
        <v>KO</v>
      </c>
      <c r="H54" s="352" t="str">
        <f t="shared" si="34"/>
        <v>OK</v>
      </c>
      <c r="I54" s="353" t="str">
        <f t="shared" si="34"/>
        <v>KO</v>
      </c>
      <c r="J54" s="353" t="str">
        <f t="shared" si="34"/>
        <v>OK</v>
      </c>
      <c r="K54" s="353" t="str">
        <f t="shared" si="34"/>
        <v>KO</v>
      </c>
      <c r="L54" s="354" t="str">
        <f t="shared" si="34"/>
        <v>KO</v>
      </c>
      <c r="M54" s="352" t="str">
        <f t="shared" si="34"/>
        <v>OK</v>
      </c>
      <c r="N54" s="353" t="str">
        <f t="shared" si="34"/>
        <v>OK</v>
      </c>
      <c r="O54" s="353" t="str">
        <f t="shared" si="34"/>
        <v>OK</v>
      </c>
      <c r="P54" s="353" t="str">
        <f t="shared" si="34"/>
        <v>KO</v>
      </c>
      <c r="Q54" s="353" t="str">
        <f t="shared" si="34"/>
        <v>KO</v>
      </c>
      <c r="R54" s="353" t="str">
        <f t="shared" si="34"/>
        <v>KO</v>
      </c>
      <c r="S54" s="353" t="str">
        <f t="shared" si="34"/>
        <v>KO</v>
      </c>
      <c r="T54" s="353" t="str">
        <f t="shared" si="34"/>
        <v>KO</v>
      </c>
      <c r="U54" s="354" t="str">
        <f t="shared" si="34"/>
        <v>KO</v>
      </c>
      <c r="V54" s="352" t="str">
        <f t="shared" si="34"/>
        <v>KO</v>
      </c>
      <c r="W54" s="354" t="str">
        <f t="shared" si="34"/>
        <v>OK</v>
      </c>
      <c r="X54" s="363"/>
      <c r="Y54" s="352" t="str">
        <f t="shared" si="37"/>
        <v>KO</v>
      </c>
      <c r="Z54" s="353" t="str">
        <f t="shared" si="35"/>
        <v>KO</v>
      </c>
      <c r="AA54" s="353" t="str">
        <f t="shared" si="35"/>
        <v>KO</v>
      </c>
      <c r="AB54" s="353" t="str">
        <f t="shared" si="35"/>
        <v>KO</v>
      </c>
      <c r="AC54" s="354" t="str">
        <f t="shared" si="35"/>
        <v>KO</v>
      </c>
      <c r="AD54" s="352" t="str">
        <f t="shared" si="35"/>
        <v>KO</v>
      </c>
      <c r="AE54" s="353" t="str">
        <f t="shared" si="35"/>
        <v>KO</v>
      </c>
      <c r="AF54" s="353" t="str">
        <f t="shared" si="35"/>
        <v>KO</v>
      </c>
      <c r="AG54" s="353" t="str">
        <f t="shared" si="35"/>
        <v>KO</v>
      </c>
      <c r="AH54" s="353" t="str">
        <f t="shared" si="35"/>
        <v>KO</v>
      </c>
      <c r="AI54" s="353" t="str">
        <f t="shared" si="35"/>
        <v>KO</v>
      </c>
      <c r="AJ54" s="353" t="str">
        <f t="shared" si="35"/>
        <v>KO</v>
      </c>
      <c r="AK54" s="353" t="str">
        <f t="shared" si="35"/>
        <v>KO</v>
      </c>
      <c r="AL54" s="353" t="str">
        <f t="shared" si="35"/>
        <v>KO</v>
      </c>
      <c r="AM54" s="354" t="str">
        <f t="shared" si="35"/>
        <v>KO</v>
      </c>
      <c r="AN54" s="352" t="str">
        <f t="shared" si="35"/>
        <v>KO</v>
      </c>
      <c r="AO54" s="353" t="str">
        <f t="shared" si="35"/>
        <v>KO</v>
      </c>
      <c r="AP54" s="353" t="str">
        <f t="shared" si="35"/>
        <v>KO</v>
      </c>
      <c r="AQ54" s="354" t="str">
        <f t="shared" si="35"/>
        <v>KO</v>
      </c>
      <c r="AR54" s="363"/>
      <c r="AS54" s="352" t="str">
        <f t="shared" si="38"/>
        <v>KO</v>
      </c>
      <c r="AT54" s="354" t="str">
        <f t="shared" si="38"/>
        <v>KO</v>
      </c>
      <c r="AX54" s="300"/>
    </row>
    <row r="55" spans="1:50" ht="9.9499999999999993" hidden="1" customHeight="1" x14ac:dyDescent="0.25">
      <c r="A55" s="214">
        <v>7</v>
      </c>
      <c r="B55" s="352" t="str">
        <f t="shared" si="36"/>
        <v>OK</v>
      </c>
      <c r="C55" s="353" t="str">
        <f t="shared" si="36"/>
        <v>OK</v>
      </c>
      <c r="D55" s="353" t="str">
        <f t="shared" si="36"/>
        <v>KO</v>
      </c>
      <c r="E55" s="353" t="str">
        <f t="shared" si="36"/>
        <v>OK</v>
      </c>
      <c r="F55" s="353" t="str">
        <f t="shared" si="36"/>
        <v>OK</v>
      </c>
      <c r="G55" s="354" t="str">
        <f t="shared" si="36"/>
        <v>KO</v>
      </c>
      <c r="H55" s="352" t="str">
        <f t="shared" si="34"/>
        <v>OK</v>
      </c>
      <c r="I55" s="353" t="str">
        <f t="shared" si="34"/>
        <v>KO</v>
      </c>
      <c r="J55" s="353" t="str">
        <f t="shared" si="34"/>
        <v>KO</v>
      </c>
      <c r="K55" s="353" t="str">
        <f t="shared" si="34"/>
        <v>KO</v>
      </c>
      <c r="L55" s="354" t="str">
        <f t="shared" si="34"/>
        <v>KO</v>
      </c>
      <c r="M55" s="352" t="str">
        <f t="shared" si="34"/>
        <v>OK</v>
      </c>
      <c r="N55" s="353" t="str">
        <f t="shared" si="34"/>
        <v>OK</v>
      </c>
      <c r="O55" s="353" t="str">
        <f t="shared" si="34"/>
        <v>OK</v>
      </c>
      <c r="P55" s="353" t="str">
        <f t="shared" si="34"/>
        <v>KO</v>
      </c>
      <c r="Q55" s="353" t="str">
        <f t="shared" si="34"/>
        <v>KO</v>
      </c>
      <c r="R55" s="353" t="str">
        <f t="shared" si="34"/>
        <v>KO</v>
      </c>
      <c r="S55" s="353" t="str">
        <f t="shared" si="34"/>
        <v>KO</v>
      </c>
      <c r="T55" s="353" t="str">
        <f t="shared" si="34"/>
        <v>KO</v>
      </c>
      <c r="U55" s="354" t="str">
        <f t="shared" si="34"/>
        <v>KO</v>
      </c>
      <c r="V55" s="352" t="str">
        <f t="shared" si="34"/>
        <v>KO</v>
      </c>
      <c r="W55" s="354" t="str">
        <f t="shared" si="34"/>
        <v>OK</v>
      </c>
      <c r="X55" s="363"/>
      <c r="Y55" s="352" t="str">
        <f t="shared" si="37"/>
        <v>KO</v>
      </c>
      <c r="Z55" s="353" t="str">
        <f t="shared" si="35"/>
        <v>KO</v>
      </c>
      <c r="AA55" s="353" t="str">
        <f t="shared" si="35"/>
        <v>KO</v>
      </c>
      <c r="AB55" s="353" t="str">
        <f t="shared" si="35"/>
        <v>KO</v>
      </c>
      <c r="AC55" s="354" t="str">
        <f t="shared" si="35"/>
        <v>KO</v>
      </c>
      <c r="AD55" s="352" t="str">
        <f t="shared" si="35"/>
        <v>KO</v>
      </c>
      <c r="AE55" s="353" t="str">
        <f t="shared" si="35"/>
        <v>KO</v>
      </c>
      <c r="AF55" s="353" t="str">
        <f t="shared" si="35"/>
        <v>KO</v>
      </c>
      <c r="AG55" s="353" t="str">
        <f t="shared" si="35"/>
        <v>KO</v>
      </c>
      <c r="AH55" s="353" t="str">
        <f t="shared" si="35"/>
        <v>KO</v>
      </c>
      <c r="AI55" s="353" t="str">
        <f t="shared" si="35"/>
        <v>KO</v>
      </c>
      <c r="AJ55" s="353" t="str">
        <f t="shared" si="35"/>
        <v>KO</v>
      </c>
      <c r="AK55" s="353" t="str">
        <f t="shared" si="35"/>
        <v>KO</v>
      </c>
      <c r="AL55" s="353" t="str">
        <f t="shared" si="35"/>
        <v>KO</v>
      </c>
      <c r="AM55" s="354" t="str">
        <f t="shared" si="35"/>
        <v>KO</v>
      </c>
      <c r="AN55" s="352" t="str">
        <f t="shared" si="35"/>
        <v>KO</v>
      </c>
      <c r="AO55" s="353" t="str">
        <f t="shared" si="35"/>
        <v>KO</v>
      </c>
      <c r="AP55" s="353" t="str">
        <f t="shared" si="35"/>
        <v>KO</v>
      </c>
      <c r="AQ55" s="354" t="str">
        <f t="shared" si="35"/>
        <v>KO</v>
      </c>
      <c r="AR55" s="363"/>
      <c r="AS55" s="352" t="str">
        <f t="shared" si="38"/>
        <v>KO</v>
      </c>
      <c r="AT55" s="354" t="str">
        <f t="shared" si="38"/>
        <v>KO</v>
      </c>
      <c r="AX55" s="300"/>
    </row>
    <row r="56" spans="1:50" ht="9.9499999999999993" hidden="1" customHeight="1" x14ac:dyDescent="0.25">
      <c r="A56" s="214">
        <v>8</v>
      </c>
      <c r="B56" s="352" t="str">
        <f t="shared" si="36"/>
        <v>OK</v>
      </c>
      <c r="C56" s="353" t="str">
        <f t="shared" si="36"/>
        <v>OK</v>
      </c>
      <c r="D56" s="353" t="str">
        <f t="shared" si="36"/>
        <v>KO</v>
      </c>
      <c r="E56" s="353" t="str">
        <f t="shared" si="36"/>
        <v>OK</v>
      </c>
      <c r="F56" s="353" t="str">
        <f t="shared" si="36"/>
        <v>OK</v>
      </c>
      <c r="G56" s="354" t="str">
        <f t="shared" si="36"/>
        <v>KO</v>
      </c>
      <c r="H56" s="352" t="str">
        <f t="shared" si="34"/>
        <v>OK</v>
      </c>
      <c r="I56" s="353" t="str">
        <f t="shared" si="34"/>
        <v>KO</v>
      </c>
      <c r="J56" s="353" t="str">
        <f t="shared" si="34"/>
        <v>KO</v>
      </c>
      <c r="K56" s="353" t="str">
        <f t="shared" si="34"/>
        <v>KO</v>
      </c>
      <c r="L56" s="354" t="str">
        <f t="shared" si="34"/>
        <v>KO</v>
      </c>
      <c r="M56" s="352" t="str">
        <f t="shared" si="34"/>
        <v>KO</v>
      </c>
      <c r="N56" s="353" t="str">
        <f t="shared" si="34"/>
        <v>OK</v>
      </c>
      <c r="O56" s="353" t="str">
        <f t="shared" si="34"/>
        <v>OK</v>
      </c>
      <c r="P56" s="353" t="str">
        <f t="shared" si="34"/>
        <v>KO</v>
      </c>
      <c r="Q56" s="353" t="str">
        <f t="shared" si="34"/>
        <v>KO</v>
      </c>
      <c r="R56" s="353" t="str">
        <f t="shared" si="34"/>
        <v>KO</v>
      </c>
      <c r="S56" s="353" t="str">
        <f t="shared" si="34"/>
        <v>KO</v>
      </c>
      <c r="T56" s="353" t="str">
        <f t="shared" si="34"/>
        <v>KO</v>
      </c>
      <c r="U56" s="354" t="str">
        <f t="shared" si="34"/>
        <v>KO</v>
      </c>
      <c r="V56" s="352" t="str">
        <f t="shared" si="34"/>
        <v>KO</v>
      </c>
      <c r="W56" s="354" t="str">
        <f t="shared" si="34"/>
        <v>OK</v>
      </c>
      <c r="X56" s="363"/>
      <c r="Y56" s="352" t="str">
        <f t="shared" si="37"/>
        <v>KO</v>
      </c>
      <c r="Z56" s="353" t="str">
        <f t="shared" si="35"/>
        <v>KO</v>
      </c>
      <c r="AA56" s="353" t="str">
        <f t="shared" si="35"/>
        <v>KO</v>
      </c>
      <c r="AB56" s="353" t="str">
        <f t="shared" si="35"/>
        <v>KO</v>
      </c>
      <c r="AC56" s="354" t="str">
        <f t="shared" si="35"/>
        <v>KO</v>
      </c>
      <c r="AD56" s="352" t="str">
        <f t="shared" si="35"/>
        <v>KO</v>
      </c>
      <c r="AE56" s="353" t="str">
        <f t="shared" si="35"/>
        <v>KO</v>
      </c>
      <c r="AF56" s="353" t="str">
        <f t="shared" si="35"/>
        <v>KO</v>
      </c>
      <c r="AG56" s="353" t="str">
        <f t="shared" si="35"/>
        <v>KO</v>
      </c>
      <c r="AH56" s="353" t="str">
        <f t="shared" si="35"/>
        <v>KO</v>
      </c>
      <c r="AI56" s="353" t="str">
        <f t="shared" si="35"/>
        <v>KO</v>
      </c>
      <c r="AJ56" s="353" t="str">
        <f t="shared" si="35"/>
        <v>KO</v>
      </c>
      <c r="AK56" s="353" t="str">
        <f t="shared" si="35"/>
        <v>KO</v>
      </c>
      <c r="AL56" s="353" t="str">
        <f t="shared" si="35"/>
        <v>KO</v>
      </c>
      <c r="AM56" s="354" t="str">
        <f t="shared" si="35"/>
        <v>KO</v>
      </c>
      <c r="AN56" s="352" t="str">
        <f t="shared" si="35"/>
        <v>KO</v>
      </c>
      <c r="AO56" s="353" t="str">
        <f t="shared" si="35"/>
        <v>KO</v>
      </c>
      <c r="AP56" s="353" t="str">
        <f t="shared" si="35"/>
        <v>KO</v>
      </c>
      <c r="AQ56" s="354" t="str">
        <f t="shared" si="35"/>
        <v>KO</v>
      </c>
      <c r="AR56" s="363"/>
      <c r="AS56" s="352" t="str">
        <f t="shared" si="38"/>
        <v>KO</v>
      </c>
      <c r="AT56" s="354" t="str">
        <f t="shared" si="38"/>
        <v>KO</v>
      </c>
      <c r="AX56" s="300"/>
    </row>
    <row r="57" spans="1:50" ht="9.9499999999999993" hidden="1" customHeight="1" x14ac:dyDescent="0.25">
      <c r="A57" s="214">
        <v>9</v>
      </c>
      <c r="B57" s="352" t="str">
        <f t="shared" si="36"/>
        <v>OK</v>
      </c>
      <c r="C57" s="353" t="str">
        <f t="shared" si="36"/>
        <v>OK</v>
      </c>
      <c r="D57" s="353" t="str">
        <f t="shared" si="36"/>
        <v>KO</v>
      </c>
      <c r="E57" s="353" t="str">
        <f t="shared" si="36"/>
        <v>OK</v>
      </c>
      <c r="F57" s="353" t="str">
        <f t="shared" si="36"/>
        <v>OK</v>
      </c>
      <c r="G57" s="354" t="str">
        <f t="shared" si="36"/>
        <v>KO</v>
      </c>
      <c r="H57" s="352" t="str">
        <f t="shared" si="34"/>
        <v>OK</v>
      </c>
      <c r="I57" s="353" t="str">
        <f t="shared" si="34"/>
        <v>KO</v>
      </c>
      <c r="J57" s="353" t="str">
        <f t="shared" si="34"/>
        <v>KO</v>
      </c>
      <c r="K57" s="353" t="str">
        <f t="shared" si="34"/>
        <v>KO</v>
      </c>
      <c r="L57" s="354" t="str">
        <f t="shared" si="34"/>
        <v>KO</v>
      </c>
      <c r="M57" s="352" t="str">
        <f t="shared" si="34"/>
        <v>KO</v>
      </c>
      <c r="N57" s="353" t="str">
        <f t="shared" si="34"/>
        <v>KO</v>
      </c>
      <c r="O57" s="353" t="str">
        <f t="shared" si="34"/>
        <v>KO</v>
      </c>
      <c r="P57" s="353" t="str">
        <f t="shared" si="34"/>
        <v>KO</v>
      </c>
      <c r="Q57" s="353" t="str">
        <f t="shared" si="34"/>
        <v>KO</v>
      </c>
      <c r="R57" s="353" t="str">
        <f t="shared" si="34"/>
        <v>KO</v>
      </c>
      <c r="S57" s="353" t="str">
        <f t="shared" si="34"/>
        <v>KO</v>
      </c>
      <c r="T57" s="353" t="str">
        <f t="shared" si="34"/>
        <v>KO</v>
      </c>
      <c r="U57" s="354" t="str">
        <f t="shared" si="34"/>
        <v>KO</v>
      </c>
      <c r="V57" s="352" t="str">
        <f t="shared" si="34"/>
        <v>KO</v>
      </c>
      <c r="W57" s="354" t="str">
        <f t="shared" si="34"/>
        <v>KO</v>
      </c>
      <c r="X57" s="363"/>
      <c r="Y57" s="352" t="str">
        <f t="shared" si="37"/>
        <v>KO</v>
      </c>
      <c r="Z57" s="353" t="str">
        <f t="shared" si="35"/>
        <v>KO</v>
      </c>
      <c r="AA57" s="353" t="str">
        <f t="shared" si="35"/>
        <v>KO</v>
      </c>
      <c r="AB57" s="353" t="str">
        <f t="shared" si="35"/>
        <v>KO</v>
      </c>
      <c r="AC57" s="354" t="str">
        <f t="shared" si="35"/>
        <v>KO</v>
      </c>
      <c r="AD57" s="352" t="str">
        <f t="shared" si="35"/>
        <v>KO</v>
      </c>
      <c r="AE57" s="353" t="str">
        <f t="shared" si="35"/>
        <v>KO</v>
      </c>
      <c r="AF57" s="353" t="str">
        <f t="shared" si="35"/>
        <v>KO</v>
      </c>
      <c r="AG57" s="353" t="str">
        <f t="shared" si="35"/>
        <v>KO</v>
      </c>
      <c r="AH57" s="353" t="str">
        <f t="shared" si="35"/>
        <v>KO</v>
      </c>
      <c r="AI57" s="353" t="str">
        <f t="shared" si="35"/>
        <v>KO</v>
      </c>
      <c r="AJ57" s="353" t="str">
        <f t="shared" si="35"/>
        <v>KO</v>
      </c>
      <c r="AK57" s="353" t="str">
        <f t="shared" si="35"/>
        <v>KO</v>
      </c>
      <c r="AL57" s="353" t="str">
        <f t="shared" si="35"/>
        <v>KO</v>
      </c>
      <c r="AM57" s="354" t="str">
        <f t="shared" si="35"/>
        <v>KO</v>
      </c>
      <c r="AN57" s="352" t="str">
        <f t="shared" si="35"/>
        <v>KO</v>
      </c>
      <c r="AO57" s="353" t="str">
        <f t="shared" si="35"/>
        <v>KO</v>
      </c>
      <c r="AP57" s="353" t="str">
        <f t="shared" si="35"/>
        <v>KO</v>
      </c>
      <c r="AQ57" s="354" t="str">
        <f t="shared" si="35"/>
        <v>KO</v>
      </c>
      <c r="AR57" s="363"/>
      <c r="AS57" s="352" t="str">
        <f t="shared" si="38"/>
        <v>KO</v>
      </c>
      <c r="AT57" s="354" t="str">
        <f t="shared" si="38"/>
        <v>KO</v>
      </c>
      <c r="AX57" s="300"/>
    </row>
    <row r="58" spans="1:50" ht="9.9499999999999993" hidden="1" customHeight="1" x14ac:dyDescent="0.25">
      <c r="A58" s="214">
        <v>10</v>
      </c>
      <c r="B58" s="352" t="str">
        <f t="shared" si="36"/>
        <v>OK</v>
      </c>
      <c r="C58" s="353" t="str">
        <f t="shared" si="36"/>
        <v>OK</v>
      </c>
      <c r="D58" s="353" t="str">
        <f t="shared" si="36"/>
        <v>KO</v>
      </c>
      <c r="E58" s="353" t="str">
        <f t="shared" si="36"/>
        <v>OK</v>
      </c>
      <c r="F58" s="353" t="str">
        <f t="shared" si="36"/>
        <v>OK</v>
      </c>
      <c r="G58" s="354" t="str">
        <f t="shared" si="36"/>
        <v>KO</v>
      </c>
      <c r="H58" s="352" t="str">
        <f t="shared" si="34"/>
        <v>KO</v>
      </c>
      <c r="I58" s="353" t="str">
        <f t="shared" si="34"/>
        <v>KO</v>
      </c>
      <c r="J58" s="353" t="str">
        <f t="shared" si="34"/>
        <v>KO</v>
      </c>
      <c r="K58" s="353" t="str">
        <f t="shared" si="34"/>
        <v>KO</v>
      </c>
      <c r="L58" s="354" t="str">
        <f t="shared" si="34"/>
        <v>KO</v>
      </c>
      <c r="M58" s="352" t="str">
        <f t="shared" si="34"/>
        <v>KO</v>
      </c>
      <c r="N58" s="353" t="str">
        <f t="shared" si="34"/>
        <v>KO</v>
      </c>
      <c r="O58" s="353" t="str">
        <f t="shared" si="34"/>
        <v>KO</v>
      </c>
      <c r="P58" s="353" t="str">
        <f t="shared" si="34"/>
        <v>KO</v>
      </c>
      <c r="Q58" s="353" t="str">
        <f t="shared" si="34"/>
        <v>KO</v>
      </c>
      <c r="R58" s="353" t="str">
        <f t="shared" si="34"/>
        <v>KO</v>
      </c>
      <c r="S58" s="353" t="str">
        <f t="shared" si="34"/>
        <v>KO</v>
      </c>
      <c r="T58" s="353" t="str">
        <f t="shared" si="34"/>
        <v>KO</v>
      </c>
      <c r="U58" s="354" t="str">
        <f t="shared" si="34"/>
        <v>KO</v>
      </c>
      <c r="V58" s="352" t="str">
        <f t="shared" si="34"/>
        <v>KO</v>
      </c>
      <c r="W58" s="354" t="str">
        <f t="shared" si="34"/>
        <v>KO</v>
      </c>
      <c r="X58" s="363"/>
      <c r="Y58" s="352" t="str">
        <f t="shared" si="37"/>
        <v>KO</v>
      </c>
      <c r="Z58" s="353" t="str">
        <f t="shared" si="35"/>
        <v>KO</v>
      </c>
      <c r="AA58" s="353" t="str">
        <f t="shared" si="35"/>
        <v>KO</v>
      </c>
      <c r="AB58" s="353" t="str">
        <f t="shared" si="35"/>
        <v>KO</v>
      </c>
      <c r="AC58" s="354" t="str">
        <f t="shared" si="35"/>
        <v>KO</v>
      </c>
      <c r="AD58" s="352" t="str">
        <f t="shared" si="35"/>
        <v>KO</v>
      </c>
      <c r="AE58" s="353" t="str">
        <f t="shared" si="35"/>
        <v>KO</v>
      </c>
      <c r="AF58" s="353" t="str">
        <f t="shared" si="35"/>
        <v>KO</v>
      </c>
      <c r="AG58" s="353" t="str">
        <f t="shared" si="35"/>
        <v>KO</v>
      </c>
      <c r="AH58" s="353" t="str">
        <f t="shared" si="35"/>
        <v>KO</v>
      </c>
      <c r="AI58" s="353" t="str">
        <f t="shared" si="35"/>
        <v>KO</v>
      </c>
      <c r="AJ58" s="353" t="str">
        <f t="shared" si="35"/>
        <v>KO</v>
      </c>
      <c r="AK58" s="353" t="str">
        <f t="shared" si="35"/>
        <v>KO</v>
      </c>
      <c r="AL58" s="353" t="str">
        <f t="shared" si="35"/>
        <v>KO</v>
      </c>
      <c r="AM58" s="354" t="str">
        <f t="shared" si="35"/>
        <v>KO</v>
      </c>
      <c r="AN58" s="352" t="str">
        <f t="shared" si="35"/>
        <v>KO</v>
      </c>
      <c r="AO58" s="353" t="str">
        <f t="shared" si="35"/>
        <v>KO</v>
      </c>
      <c r="AP58" s="353" t="str">
        <f t="shared" si="35"/>
        <v>KO</v>
      </c>
      <c r="AQ58" s="354" t="str">
        <f t="shared" si="35"/>
        <v>KO</v>
      </c>
      <c r="AR58" s="363"/>
      <c r="AS58" s="352" t="str">
        <f t="shared" si="38"/>
        <v>KO</v>
      </c>
      <c r="AT58" s="354" t="str">
        <f t="shared" si="38"/>
        <v>KO</v>
      </c>
      <c r="AX58" s="300"/>
    </row>
    <row r="59" spans="1:50" ht="9.9499999999999993" hidden="1" customHeight="1" x14ac:dyDescent="0.25">
      <c r="A59" s="214">
        <v>11</v>
      </c>
      <c r="B59" s="352" t="str">
        <f t="shared" si="36"/>
        <v>OK</v>
      </c>
      <c r="C59" s="353" t="str">
        <f t="shared" si="36"/>
        <v>OK</v>
      </c>
      <c r="D59" s="353" t="str">
        <f t="shared" si="36"/>
        <v>KO</v>
      </c>
      <c r="E59" s="353" t="str">
        <f t="shared" si="36"/>
        <v>OK</v>
      </c>
      <c r="F59" s="353" t="str">
        <f t="shared" si="36"/>
        <v>OK</v>
      </c>
      <c r="G59" s="354" t="str">
        <f t="shared" si="36"/>
        <v>KO</v>
      </c>
      <c r="H59" s="352" t="str">
        <f t="shared" si="34"/>
        <v>KO</v>
      </c>
      <c r="I59" s="353" t="str">
        <f t="shared" si="34"/>
        <v>KO</v>
      </c>
      <c r="J59" s="353" t="str">
        <f t="shared" si="34"/>
        <v>KO</v>
      </c>
      <c r="K59" s="353" t="str">
        <f t="shared" si="34"/>
        <v>KO</v>
      </c>
      <c r="L59" s="354" t="str">
        <f t="shared" si="34"/>
        <v>KO</v>
      </c>
      <c r="M59" s="352" t="str">
        <f t="shared" si="34"/>
        <v>KO</v>
      </c>
      <c r="N59" s="353" t="str">
        <f t="shared" si="34"/>
        <v>KO</v>
      </c>
      <c r="O59" s="353" t="str">
        <f t="shared" si="34"/>
        <v>KO</v>
      </c>
      <c r="P59" s="353" t="str">
        <f t="shared" si="34"/>
        <v>KO</v>
      </c>
      <c r="Q59" s="353" t="str">
        <f t="shared" si="34"/>
        <v>KO</v>
      </c>
      <c r="R59" s="353" t="str">
        <f t="shared" si="34"/>
        <v>KO</v>
      </c>
      <c r="S59" s="353" t="str">
        <f t="shared" si="34"/>
        <v>KO</v>
      </c>
      <c r="T59" s="353" t="str">
        <f t="shared" si="34"/>
        <v>KO</v>
      </c>
      <c r="U59" s="354" t="str">
        <f t="shared" si="34"/>
        <v>KO</v>
      </c>
      <c r="V59" s="352" t="str">
        <f t="shared" si="34"/>
        <v>KO</v>
      </c>
      <c r="W59" s="354" t="str">
        <f t="shared" si="34"/>
        <v>KO</v>
      </c>
      <c r="X59" s="363"/>
      <c r="Y59" s="352" t="str">
        <f t="shared" si="37"/>
        <v>KO</v>
      </c>
      <c r="Z59" s="353" t="str">
        <f t="shared" si="35"/>
        <v>KO</v>
      </c>
      <c r="AA59" s="353" t="str">
        <f t="shared" si="35"/>
        <v>KO</v>
      </c>
      <c r="AB59" s="353" t="str">
        <f t="shared" si="35"/>
        <v>KO</v>
      </c>
      <c r="AC59" s="354" t="str">
        <f t="shared" si="35"/>
        <v>KO</v>
      </c>
      <c r="AD59" s="352" t="str">
        <f t="shared" si="35"/>
        <v>KO</v>
      </c>
      <c r="AE59" s="353" t="str">
        <f t="shared" si="35"/>
        <v>KO</v>
      </c>
      <c r="AF59" s="353" t="str">
        <f t="shared" si="35"/>
        <v>KO</v>
      </c>
      <c r="AG59" s="353" t="str">
        <f t="shared" si="35"/>
        <v>KO</v>
      </c>
      <c r="AH59" s="353" t="str">
        <f t="shared" si="35"/>
        <v>KO</v>
      </c>
      <c r="AI59" s="353" t="str">
        <f t="shared" si="35"/>
        <v>KO</v>
      </c>
      <c r="AJ59" s="353" t="str">
        <f t="shared" si="35"/>
        <v>KO</v>
      </c>
      <c r="AK59" s="353" t="str">
        <f t="shared" si="35"/>
        <v>KO</v>
      </c>
      <c r="AL59" s="353" t="str">
        <f t="shared" si="35"/>
        <v>KO</v>
      </c>
      <c r="AM59" s="354" t="str">
        <f t="shared" si="35"/>
        <v>KO</v>
      </c>
      <c r="AN59" s="352" t="str">
        <f t="shared" si="35"/>
        <v>KO</v>
      </c>
      <c r="AO59" s="353" t="str">
        <f t="shared" si="35"/>
        <v>KO</v>
      </c>
      <c r="AP59" s="353" t="str">
        <f t="shared" si="35"/>
        <v>KO</v>
      </c>
      <c r="AQ59" s="354" t="str">
        <f t="shared" si="35"/>
        <v>KO</v>
      </c>
      <c r="AR59" s="363"/>
      <c r="AS59" s="352" t="str">
        <f t="shared" si="38"/>
        <v>KO</v>
      </c>
      <c r="AT59" s="354" t="str">
        <f t="shared" si="38"/>
        <v>KO</v>
      </c>
      <c r="AX59" s="300"/>
    </row>
    <row r="60" spans="1:50" ht="9.9499999999999993" hidden="1" customHeight="1" x14ac:dyDescent="0.25">
      <c r="A60" s="214">
        <v>12</v>
      </c>
      <c r="B60" s="352" t="str">
        <f t="shared" si="36"/>
        <v>KO</v>
      </c>
      <c r="C60" s="353" t="str">
        <f t="shared" si="36"/>
        <v>KO</v>
      </c>
      <c r="D60" s="353" t="str">
        <f t="shared" si="36"/>
        <v>KO</v>
      </c>
      <c r="E60" s="353" t="str">
        <f t="shared" si="36"/>
        <v>KO</v>
      </c>
      <c r="F60" s="353" t="str">
        <f t="shared" si="36"/>
        <v>KO</v>
      </c>
      <c r="G60" s="354" t="str">
        <f t="shared" si="36"/>
        <v>KO</v>
      </c>
      <c r="H60" s="352" t="str">
        <f t="shared" si="34"/>
        <v>KO</v>
      </c>
      <c r="I60" s="353" t="str">
        <f t="shared" si="34"/>
        <v>KO</v>
      </c>
      <c r="J60" s="353" t="str">
        <f t="shared" si="34"/>
        <v>KO</v>
      </c>
      <c r="K60" s="353" t="str">
        <f t="shared" si="34"/>
        <v>KO</v>
      </c>
      <c r="L60" s="354" t="str">
        <f t="shared" si="34"/>
        <v>KO</v>
      </c>
      <c r="M60" s="352" t="str">
        <f t="shared" si="34"/>
        <v>KO</v>
      </c>
      <c r="N60" s="353" t="str">
        <f t="shared" si="34"/>
        <v>KO</v>
      </c>
      <c r="O60" s="353" t="str">
        <f t="shared" si="34"/>
        <v>KO</v>
      </c>
      <c r="P60" s="353" t="str">
        <f t="shared" si="34"/>
        <v>KO</v>
      </c>
      <c r="Q60" s="353" t="str">
        <f t="shared" si="34"/>
        <v>KO</v>
      </c>
      <c r="R60" s="353" t="str">
        <f t="shared" si="34"/>
        <v>KO</v>
      </c>
      <c r="S60" s="353" t="str">
        <f t="shared" si="34"/>
        <v>KO</v>
      </c>
      <c r="T60" s="353" t="str">
        <f t="shared" si="34"/>
        <v>KO</v>
      </c>
      <c r="U60" s="354" t="str">
        <f t="shared" si="34"/>
        <v>KO</v>
      </c>
      <c r="V60" s="352" t="str">
        <f t="shared" si="34"/>
        <v>KO</v>
      </c>
      <c r="W60" s="354" t="str">
        <f t="shared" si="34"/>
        <v>KO</v>
      </c>
      <c r="X60" s="363"/>
      <c r="Y60" s="352" t="str">
        <f t="shared" si="37"/>
        <v>KO</v>
      </c>
      <c r="Z60" s="353" t="str">
        <f t="shared" si="35"/>
        <v>KO</v>
      </c>
      <c r="AA60" s="353" t="str">
        <f t="shared" si="35"/>
        <v>KO</v>
      </c>
      <c r="AB60" s="353" t="str">
        <f t="shared" si="35"/>
        <v>KO</v>
      </c>
      <c r="AC60" s="354" t="str">
        <f t="shared" si="35"/>
        <v>KO</v>
      </c>
      <c r="AD60" s="352" t="str">
        <f t="shared" si="35"/>
        <v>KO</v>
      </c>
      <c r="AE60" s="353" t="str">
        <f t="shared" si="35"/>
        <v>KO</v>
      </c>
      <c r="AF60" s="353" t="str">
        <f t="shared" si="35"/>
        <v>KO</v>
      </c>
      <c r="AG60" s="353" t="str">
        <f t="shared" si="35"/>
        <v>KO</v>
      </c>
      <c r="AH60" s="353" t="str">
        <f t="shared" si="35"/>
        <v>KO</v>
      </c>
      <c r="AI60" s="353" t="str">
        <f t="shared" si="35"/>
        <v>KO</v>
      </c>
      <c r="AJ60" s="353" t="str">
        <f t="shared" si="35"/>
        <v>KO</v>
      </c>
      <c r="AK60" s="353" t="str">
        <f t="shared" si="35"/>
        <v>KO</v>
      </c>
      <c r="AL60" s="353" t="str">
        <f t="shared" si="35"/>
        <v>KO</v>
      </c>
      <c r="AM60" s="354" t="str">
        <f t="shared" si="35"/>
        <v>KO</v>
      </c>
      <c r="AN60" s="352" t="str">
        <f t="shared" si="35"/>
        <v>KO</v>
      </c>
      <c r="AO60" s="353" t="str">
        <f t="shared" si="35"/>
        <v>KO</v>
      </c>
      <c r="AP60" s="353" t="str">
        <f t="shared" si="35"/>
        <v>KO</v>
      </c>
      <c r="AQ60" s="354" t="str">
        <f t="shared" si="35"/>
        <v>KO</v>
      </c>
      <c r="AR60" s="363"/>
      <c r="AS60" s="352" t="str">
        <f t="shared" si="38"/>
        <v>KO</v>
      </c>
      <c r="AT60" s="354" t="str">
        <f t="shared" si="38"/>
        <v>KO</v>
      </c>
      <c r="AX60" s="300"/>
    </row>
    <row r="61" spans="1:50" ht="9.9499999999999993" hidden="1" customHeight="1" x14ac:dyDescent="0.25">
      <c r="A61" s="214">
        <v>13</v>
      </c>
      <c r="B61" s="352" t="str">
        <f t="shared" si="36"/>
        <v>KO</v>
      </c>
      <c r="C61" s="353" t="str">
        <f t="shared" si="36"/>
        <v>KO</v>
      </c>
      <c r="D61" s="353" t="str">
        <f t="shared" si="36"/>
        <v>KO</v>
      </c>
      <c r="E61" s="353" t="str">
        <f t="shared" si="36"/>
        <v>KO</v>
      </c>
      <c r="F61" s="353" t="str">
        <f t="shared" si="36"/>
        <v>KO</v>
      </c>
      <c r="G61" s="354" t="str">
        <f t="shared" si="36"/>
        <v>KO</v>
      </c>
      <c r="H61" s="352" t="str">
        <f t="shared" si="34"/>
        <v>KO</v>
      </c>
      <c r="I61" s="353" t="str">
        <f t="shared" si="34"/>
        <v>KO</v>
      </c>
      <c r="J61" s="353" t="str">
        <f t="shared" si="34"/>
        <v>KO</v>
      </c>
      <c r="K61" s="353" t="str">
        <f t="shared" si="34"/>
        <v>KO</v>
      </c>
      <c r="L61" s="354" t="str">
        <f t="shared" si="34"/>
        <v>KO</v>
      </c>
      <c r="M61" s="352" t="str">
        <f t="shared" si="34"/>
        <v>KO</v>
      </c>
      <c r="N61" s="353" t="str">
        <f t="shared" si="34"/>
        <v>KO</v>
      </c>
      <c r="O61" s="353" t="str">
        <f t="shared" si="34"/>
        <v>KO</v>
      </c>
      <c r="P61" s="353" t="str">
        <f t="shared" si="34"/>
        <v>KO</v>
      </c>
      <c r="Q61" s="353" t="str">
        <f t="shared" si="34"/>
        <v>KO</v>
      </c>
      <c r="R61" s="353" t="str">
        <f t="shared" si="34"/>
        <v>KO</v>
      </c>
      <c r="S61" s="353" t="str">
        <f t="shared" si="34"/>
        <v>KO</v>
      </c>
      <c r="T61" s="353" t="str">
        <f t="shared" si="34"/>
        <v>KO</v>
      </c>
      <c r="U61" s="354" t="str">
        <f t="shared" si="34"/>
        <v>KO</v>
      </c>
      <c r="V61" s="352" t="str">
        <f t="shared" si="34"/>
        <v>KO</v>
      </c>
      <c r="W61" s="354" t="str">
        <f t="shared" si="34"/>
        <v>KO</v>
      </c>
      <c r="X61" s="363"/>
      <c r="Y61" s="352" t="str">
        <f t="shared" si="37"/>
        <v>KO</v>
      </c>
      <c r="Z61" s="353" t="str">
        <f t="shared" si="35"/>
        <v>KO</v>
      </c>
      <c r="AA61" s="353" t="str">
        <f t="shared" si="35"/>
        <v>KO</v>
      </c>
      <c r="AB61" s="353" t="str">
        <f t="shared" si="35"/>
        <v>KO</v>
      </c>
      <c r="AC61" s="354" t="str">
        <f t="shared" si="35"/>
        <v>KO</v>
      </c>
      <c r="AD61" s="352" t="str">
        <f t="shared" si="35"/>
        <v>KO</v>
      </c>
      <c r="AE61" s="353" t="str">
        <f t="shared" si="35"/>
        <v>KO</v>
      </c>
      <c r="AF61" s="353" t="str">
        <f t="shared" si="35"/>
        <v>KO</v>
      </c>
      <c r="AG61" s="353" t="str">
        <f t="shared" si="35"/>
        <v>KO</v>
      </c>
      <c r="AH61" s="353" t="str">
        <f t="shared" si="35"/>
        <v>KO</v>
      </c>
      <c r="AI61" s="353" t="str">
        <f t="shared" si="35"/>
        <v>KO</v>
      </c>
      <c r="AJ61" s="353" t="str">
        <f t="shared" si="35"/>
        <v>KO</v>
      </c>
      <c r="AK61" s="353" t="str">
        <f t="shared" si="35"/>
        <v>KO</v>
      </c>
      <c r="AL61" s="353" t="str">
        <f t="shared" si="35"/>
        <v>KO</v>
      </c>
      <c r="AM61" s="354" t="str">
        <f t="shared" si="35"/>
        <v>KO</v>
      </c>
      <c r="AN61" s="352" t="str">
        <f t="shared" si="35"/>
        <v>KO</v>
      </c>
      <c r="AO61" s="353" t="str">
        <f t="shared" si="35"/>
        <v>KO</v>
      </c>
      <c r="AP61" s="353" t="str">
        <f t="shared" si="35"/>
        <v>KO</v>
      </c>
      <c r="AQ61" s="354" t="str">
        <f t="shared" si="35"/>
        <v>KO</v>
      </c>
      <c r="AR61" s="363"/>
      <c r="AS61" s="352" t="str">
        <f t="shared" si="38"/>
        <v>KO</v>
      </c>
      <c r="AT61" s="354" t="str">
        <f t="shared" si="38"/>
        <v>KO</v>
      </c>
      <c r="AX61" s="300"/>
    </row>
    <row r="62" spans="1:50" ht="9.9499999999999993" hidden="1" customHeight="1" x14ac:dyDescent="0.25">
      <c r="A62" s="214">
        <v>14</v>
      </c>
      <c r="B62" s="352" t="str">
        <f t="shared" si="36"/>
        <v>KO</v>
      </c>
      <c r="C62" s="353" t="str">
        <f t="shared" si="36"/>
        <v>KO</v>
      </c>
      <c r="D62" s="353" t="str">
        <f t="shared" si="36"/>
        <v>KO</v>
      </c>
      <c r="E62" s="353" t="str">
        <f t="shared" si="36"/>
        <v>KO</v>
      </c>
      <c r="F62" s="353" t="str">
        <f t="shared" si="36"/>
        <v>KO</v>
      </c>
      <c r="G62" s="354" t="str">
        <f t="shared" si="36"/>
        <v>KO</v>
      </c>
      <c r="H62" s="352" t="str">
        <f t="shared" si="34"/>
        <v>KO</v>
      </c>
      <c r="I62" s="353" t="str">
        <f t="shared" si="34"/>
        <v>KO</v>
      </c>
      <c r="J62" s="353" t="str">
        <f t="shared" si="34"/>
        <v>KO</v>
      </c>
      <c r="K62" s="353" t="str">
        <f t="shared" si="34"/>
        <v>KO</v>
      </c>
      <c r="L62" s="354" t="str">
        <f t="shared" si="34"/>
        <v>KO</v>
      </c>
      <c r="M62" s="352" t="str">
        <f t="shared" si="34"/>
        <v>KO</v>
      </c>
      <c r="N62" s="353" t="str">
        <f t="shared" si="34"/>
        <v>KO</v>
      </c>
      <c r="O62" s="353" t="str">
        <f t="shared" si="34"/>
        <v>KO</v>
      </c>
      <c r="P62" s="353" t="str">
        <f t="shared" si="34"/>
        <v>KO</v>
      </c>
      <c r="Q62" s="353" t="str">
        <f t="shared" si="34"/>
        <v>KO</v>
      </c>
      <c r="R62" s="353" t="str">
        <f t="shared" si="34"/>
        <v>KO</v>
      </c>
      <c r="S62" s="353" t="str">
        <f t="shared" si="34"/>
        <v>KO</v>
      </c>
      <c r="T62" s="353" t="str">
        <f t="shared" si="34"/>
        <v>KO</v>
      </c>
      <c r="U62" s="354" t="str">
        <f t="shared" si="34"/>
        <v>KO</v>
      </c>
      <c r="V62" s="352" t="str">
        <f t="shared" si="34"/>
        <v>KO</v>
      </c>
      <c r="W62" s="354" t="str">
        <f t="shared" si="34"/>
        <v>KO</v>
      </c>
      <c r="X62" s="363"/>
      <c r="Y62" s="352" t="str">
        <f t="shared" si="37"/>
        <v>KO</v>
      </c>
      <c r="Z62" s="353" t="str">
        <f t="shared" si="35"/>
        <v>KO</v>
      </c>
      <c r="AA62" s="353" t="str">
        <f t="shared" si="35"/>
        <v>KO</v>
      </c>
      <c r="AB62" s="353" t="str">
        <f t="shared" si="35"/>
        <v>KO</v>
      </c>
      <c r="AC62" s="354" t="str">
        <f t="shared" si="35"/>
        <v>KO</v>
      </c>
      <c r="AD62" s="352" t="str">
        <f t="shared" si="35"/>
        <v>KO</v>
      </c>
      <c r="AE62" s="353" t="str">
        <f t="shared" si="35"/>
        <v>KO</v>
      </c>
      <c r="AF62" s="353" t="str">
        <f t="shared" si="35"/>
        <v>KO</v>
      </c>
      <c r="AG62" s="353" t="str">
        <f t="shared" si="35"/>
        <v>KO</v>
      </c>
      <c r="AH62" s="353" t="str">
        <f t="shared" si="35"/>
        <v>KO</v>
      </c>
      <c r="AI62" s="353" t="str">
        <f t="shared" si="35"/>
        <v>KO</v>
      </c>
      <c r="AJ62" s="353" t="str">
        <f t="shared" si="35"/>
        <v>KO</v>
      </c>
      <c r="AK62" s="353" t="str">
        <f t="shared" si="35"/>
        <v>KO</v>
      </c>
      <c r="AL62" s="353" t="str">
        <f t="shared" si="35"/>
        <v>KO</v>
      </c>
      <c r="AM62" s="354" t="str">
        <f t="shared" si="35"/>
        <v>KO</v>
      </c>
      <c r="AN62" s="352" t="str">
        <f t="shared" si="35"/>
        <v>KO</v>
      </c>
      <c r="AO62" s="353" t="str">
        <f t="shared" si="35"/>
        <v>KO</v>
      </c>
      <c r="AP62" s="353" t="str">
        <f t="shared" si="35"/>
        <v>KO</v>
      </c>
      <c r="AQ62" s="354" t="str">
        <f t="shared" si="35"/>
        <v>KO</v>
      </c>
      <c r="AR62" s="363"/>
      <c r="AS62" s="352" t="str">
        <f t="shared" si="38"/>
        <v>KO</v>
      </c>
      <c r="AT62" s="354" t="str">
        <f t="shared" si="38"/>
        <v>KO</v>
      </c>
      <c r="AX62" s="300"/>
    </row>
    <row r="63" spans="1:50" ht="9.9499999999999993" hidden="1" customHeight="1" x14ac:dyDescent="0.25">
      <c r="A63" s="214">
        <v>15</v>
      </c>
      <c r="B63" s="352" t="str">
        <f t="shared" si="36"/>
        <v>KO</v>
      </c>
      <c r="C63" s="353" t="str">
        <f t="shared" si="36"/>
        <v>KO</v>
      </c>
      <c r="D63" s="353" t="str">
        <f t="shared" si="36"/>
        <v>KO</v>
      </c>
      <c r="E63" s="353" t="str">
        <f t="shared" si="36"/>
        <v>KO</v>
      </c>
      <c r="F63" s="353" t="str">
        <f t="shared" si="36"/>
        <v>KO</v>
      </c>
      <c r="G63" s="354" t="str">
        <f t="shared" si="36"/>
        <v>KO</v>
      </c>
      <c r="H63" s="352" t="str">
        <f t="shared" si="34"/>
        <v>KO</v>
      </c>
      <c r="I63" s="353" t="str">
        <f t="shared" si="34"/>
        <v>KO</v>
      </c>
      <c r="J63" s="353" t="str">
        <f t="shared" si="34"/>
        <v>KO</v>
      </c>
      <c r="K63" s="353" t="str">
        <f t="shared" si="34"/>
        <v>KO</v>
      </c>
      <c r="L63" s="354" t="str">
        <f t="shared" si="34"/>
        <v>KO</v>
      </c>
      <c r="M63" s="352" t="str">
        <f t="shared" si="34"/>
        <v>KO</v>
      </c>
      <c r="N63" s="353" t="str">
        <f t="shared" si="34"/>
        <v>KO</v>
      </c>
      <c r="O63" s="353" t="str">
        <f t="shared" si="34"/>
        <v>KO</v>
      </c>
      <c r="P63" s="353" t="str">
        <f t="shared" si="34"/>
        <v>KO</v>
      </c>
      <c r="Q63" s="353" t="str">
        <f t="shared" si="34"/>
        <v>KO</v>
      </c>
      <c r="R63" s="353" t="str">
        <f t="shared" si="34"/>
        <v>KO</v>
      </c>
      <c r="S63" s="353" t="str">
        <f t="shared" si="34"/>
        <v>KO</v>
      </c>
      <c r="T63" s="353" t="str">
        <f t="shared" si="34"/>
        <v>KO</v>
      </c>
      <c r="U63" s="354" t="str">
        <f t="shared" si="34"/>
        <v>KO</v>
      </c>
      <c r="V63" s="352" t="str">
        <f t="shared" si="34"/>
        <v>KO</v>
      </c>
      <c r="W63" s="354" t="str">
        <f t="shared" si="34"/>
        <v>KO</v>
      </c>
      <c r="X63" s="363"/>
      <c r="Y63" s="352" t="str">
        <f t="shared" si="37"/>
        <v>KO</v>
      </c>
      <c r="Z63" s="353" t="str">
        <f t="shared" si="35"/>
        <v>KO</v>
      </c>
      <c r="AA63" s="353" t="str">
        <f t="shared" si="35"/>
        <v>KO</v>
      </c>
      <c r="AB63" s="353" t="str">
        <f t="shared" si="35"/>
        <v>KO</v>
      </c>
      <c r="AC63" s="354" t="str">
        <f t="shared" si="35"/>
        <v>KO</v>
      </c>
      <c r="AD63" s="352" t="str">
        <f t="shared" si="35"/>
        <v>KO</v>
      </c>
      <c r="AE63" s="353" t="str">
        <f t="shared" si="35"/>
        <v>KO</v>
      </c>
      <c r="AF63" s="353" t="str">
        <f t="shared" si="35"/>
        <v>KO</v>
      </c>
      <c r="AG63" s="353" t="str">
        <f t="shared" si="35"/>
        <v>KO</v>
      </c>
      <c r="AH63" s="353" t="str">
        <f t="shared" si="35"/>
        <v>KO</v>
      </c>
      <c r="AI63" s="353" t="str">
        <f t="shared" si="35"/>
        <v>KO</v>
      </c>
      <c r="AJ63" s="353" t="str">
        <f t="shared" si="35"/>
        <v>KO</v>
      </c>
      <c r="AK63" s="353" t="str">
        <f t="shared" si="35"/>
        <v>KO</v>
      </c>
      <c r="AL63" s="353" t="str">
        <f t="shared" si="35"/>
        <v>KO</v>
      </c>
      <c r="AM63" s="354" t="str">
        <f t="shared" si="35"/>
        <v>KO</v>
      </c>
      <c r="AN63" s="352" t="str">
        <f t="shared" si="35"/>
        <v>KO</v>
      </c>
      <c r="AO63" s="353" t="str">
        <f t="shared" si="35"/>
        <v>KO</v>
      </c>
      <c r="AP63" s="353" t="str">
        <f t="shared" si="35"/>
        <v>KO</v>
      </c>
      <c r="AQ63" s="354" t="str">
        <f t="shared" si="35"/>
        <v>KO</v>
      </c>
      <c r="AR63" s="363"/>
      <c r="AS63" s="352" t="str">
        <f t="shared" si="38"/>
        <v>KO</v>
      </c>
      <c r="AT63" s="354" t="str">
        <f t="shared" si="38"/>
        <v>KO</v>
      </c>
      <c r="AX63" s="300"/>
    </row>
    <row r="64" spans="1:50" ht="9.9499999999999993" hidden="1" customHeight="1" x14ac:dyDescent="0.25">
      <c r="A64" s="214">
        <v>16</v>
      </c>
      <c r="B64" s="352" t="str">
        <f t="shared" si="36"/>
        <v>KO</v>
      </c>
      <c r="C64" s="353" t="str">
        <f t="shared" si="36"/>
        <v>KO</v>
      </c>
      <c r="D64" s="353" t="str">
        <f t="shared" si="36"/>
        <v>KO</v>
      </c>
      <c r="E64" s="353" t="str">
        <f t="shared" si="36"/>
        <v>KO</v>
      </c>
      <c r="F64" s="353" t="str">
        <f t="shared" si="36"/>
        <v>KO</v>
      </c>
      <c r="G64" s="354" t="str">
        <f t="shared" si="36"/>
        <v>KO</v>
      </c>
      <c r="H64" s="352" t="str">
        <f t="shared" si="34"/>
        <v>KO</v>
      </c>
      <c r="I64" s="353" t="str">
        <f t="shared" si="34"/>
        <v>KO</v>
      </c>
      <c r="J64" s="353" t="str">
        <f t="shared" si="34"/>
        <v>KO</v>
      </c>
      <c r="K64" s="353" t="str">
        <f t="shared" si="34"/>
        <v>KO</v>
      </c>
      <c r="L64" s="354" t="str">
        <f t="shared" si="34"/>
        <v>KO</v>
      </c>
      <c r="M64" s="352" t="str">
        <f t="shared" si="34"/>
        <v>KO</v>
      </c>
      <c r="N64" s="353" t="str">
        <f t="shared" si="34"/>
        <v>KO</v>
      </c>
      <c r="O64" s="353" t="str">
        <f t="shared" si="34"/>
        <v>KO</v>
      </c>
      <c r="P64" s="353" t="str">
        <f t="shared" si="34"/>
        <v>KO</v>
      </c>
      <c r="Q64" s="353" t="str">
        <f t="shared" si="34"/>
        <v>KO</v>
      </c>
      <c r="R64" s="353" t="str">
        <f t="shared" si="34"/>
        <v>KO</v>
      </c>
      <c r="S64" s="353" t="str">
        <f t="shared" si="34"/>
        <v>KO</v>
      </c>
      <c r="T64" s="353" t="str">
        <f t="shared" si="34"/>
        <v>KO</v>
      </c>
      <c r="U64" s="354" t="str">
        <f t="shared" si="34"/>
        <v>KO</v>
      </c>
      <c r="V64" s="352" t="str">
        <f t="shared" si="34"/>
        <v>KO</v>
      </c>
      <c r="W64" s="354" t="str">
        <f t="shared" si="34"/>
        <v>KO</v>
      </c>
      <c r="X64" s="363"/>
      <c r="Y64" s="352" t="str">
        <f t="shared" si="37"/>
        <v>KO</v>
      </c>
      <c r="Z64" s="353" t="str">
        <f t="shared" ref="Z64:AQ78" si="39">IF($A64&gt;Z$48,"KO","OK")</f>
        <v>KO</v>
      </c>
      <c r="AA64" s="353" t="str">
        <f t="shared" si="39"/>
        <v>KO</v>
      </c>
      <c r="AB64" s="353" t="str">
        <f t="shared" si="39"/>
        <v>KO</v>
      </c>
      <c r="AC64" s="354" t="str">
        <f t="shared" si="39"/>
        <v>KO</v>
      </c>
      <c r="AD64" s="352" t="str">
        <f t="shared" si="39"/>
        <v>KO</v>
      </c>
      <c r="AE64" s="353" t="str">
        <f t="shared" si="39"/>
        <v>KO</v>
      </c>
      <c r="AF64" s="353" t="str">
        <f t="shared" si="39"/>
        <v>KO</v>
      </c>
      <c r="AG64" s="353" t="str">
        <f t="shared" si="39"/>
        <v>KO</v>
      </c>
      <c r="AH64" s="353" t="str">
        <f t="shared" si="39"/>
        <v>KO</v>
      </c>
      <c r="AI64" s="353" t="str">
        <f t="shared" si="39"/>
        <v>KO</v>
      </c>
      <c r="AJ64" s="353" t="str">
        <f t="shared" si="39"/>
        <v>KO</v>
      </c>
      <c r="AK64" s="353" t="str">
        <f t="shared" si="39"/>
        <v>KO</v>
      </c>
      <c r="AL64" s="353" t="str">
        <f t="shared" si="39"/>
        <v>KO</v>
      </c>
      <c r="AM64" s="354" t="str">
        <f t="shared" si="39"/>
        <v>KO</v>
      </c>
      <c r="AN64" s="352" t="str">
        <f t="shared" si="39"/>
        <v>KO</v>
      </c>
      <c r="AO64" s="353" t="str">
        <f t="shared" si="39"/>
        <v>KO</v>
      </c>
      <c r="AP64" s="353" t="str">
        <f t="shared" si="39"/>
        <v>KO</v>
      </c>
      <c r="AQ64" s="354" t="str">
        <f t="shared" si="39"/>
        <v>KO</v>
      </c>
      <c r="AR64" s="363"/>
      <c r="AS64" s="352" t="str">
        <f t="shared" si="38"/>
        <v>KO</v>
      </c>
      <c r="AT64" s="354" t="str">
        <f t="shared" si="38"/>
        <v>KO</v>
      </c>
      <c r="AX64" s="300"/>
    </row>
    <row r="65" spans="1:50" ht="9.9499999999999993" hidden="1" customHeight="1" x14ac:dyDescent="0.25">
      <c r="A65" s="214">
        <v>17</v>
      </c>
      <c r="B65" s="352" t="str">
        <f t="shared" si="36"/>
        <v>KO</v>
      </c>
      <c r="C65" s="353" t="str">
        <f t="shared" si="36"/>
        <v>KO</v>
      </c>
      <c r="D65" s="353" t="str">
        <f t="shared" si="36"/>
        <v>KO</v>
      </c>
      <c r="E65" s="353" t="str">
        <f t="shared" si="36"/>
        <v>KO</v>
      </c>
      <c r="F65" s="353" t="str">
        <f t="shared" si="36"/>
        <v>KO</v>
      </c>
      <c r="G65" s="354" t="str">
        <f t="shared" si="36"/>
        <v>KO</v>
      </c>
      <c r="H65" s="352" t="str">
        <f t="shared" ref="H65:W80" si="40">IF($A65&gt;H$48,"KO","OK")</f>
        <v>KO</v>
      </c>
      <c r="I65" s="353" t="str">
        <f t="shared" si="40"/>
        <v>KO</v>
      </c>
      <c r="J65" s="353" t="str">
        <f t="shared" si="40"/>
        <v>KO</v>
      </c>
      <c r="K65" s="353" t="str">
        <f t="shared" si="40"/>
        <v>KO</v>
      </c>
      <c r="L65" s="354" t="str">
        <f t="shared" si="40"/>
        <v>KO</v>
      </c>
      <c r="M65" s="352" t="str">
        <f t="shared" si="40"/>
        <v>KO</v>
      </c>
      <c r="N65" s="353" t="str">
        <f t="shared" si="40"/>
        <v>KO</v>
      </c>
      <c r="O65" s="353" t="str">
        <f t="shared" si="40"/>
        <v>KO</v>
      </c>
      <c r="P65" s="353" t="str">
        <f t="shared" si="40"/>
        <v>KO</v>
      </c>
      <c r="Q65" s="353" t="str">
        <f t="shared" si="40"/>
        <v>KO</v>
      </c>
      <c r="R65" s="353" t="str">
        <f t="shared" si="40"/>
        <v>KO</v>
      </c>
      <c r="S65" s="353" t="str">
        <f t="shared" si="40"/>
        <v>KO</v>
      </c>
      <c r="T65" s="353" t="str">
        <f t="shared" si="40"/>
        <v>KO</v>
      </c>
      <c r="U65" s="354" t="str">
        <f t="shared" si="40"/>
        <v>KO</v>
      </c>
      <c r="V65" s="352" t="str">
        <f t="shared" si="40"/>
        <v>KO</v>
      </c>
      <c r="W65" s="354" t="str">
        <f t="shared" si="40"/>
        <v>KO</v>
      </c>
      <c r="X65" s="363"/>
      <c r="Y65" s="352" t="str">
        <f t="shared" si="37"/>
        <v>KO</v>
      </c>
      <c r="Z65" s="353" t="str">
        <f t="shared" si="39"/>
        <v>KO</v>
      </c>
      <c r="AA65" s="353" t="str">
        <f t="shared" si="39"/>
        <v>KO</v>
      </c>
      <c r="AB65" s="353" t="str">
        <f t="shared" si="39"/>
        <v>KO</v>
      </c>
      <c r="AC65" s="354" t="str">
        <f t="shared" si="39"/>
        <v>KO</v>
      </c>
      <c r="AD65" s="352" t="str">
        <f t="shared" si="39"/>
        <v>KO</v>
      </c>
      <c r="AE65" s="353" t="str">
        <f t="shared" si="39"/>
        <v>KO</v>
      </c>
      <c r="AF65" s="353" t="str">
        <f t="shared" si="39"/>
        <v>KO</v>
      </c>
      <c r="AG65" s="353" t="str">
        <f t="shared" si="39"/>
        <v>KO</v>
      </c>
      <c r="AH65" s="353" t="str">
        <f t="shared" si="39"/>
        <v>KO</v>
      </c>
      <c r="AI65" s="353" t="str">
        <f t="shared" si="39"/>
        <v>KO</v>
      </c>
      <c r="AJ65" s="353" t="str">
        <f t="shared" si="39"/>
        <v>KO</v>
      </c>
      <c r="AK65" s="353" t="str">
        <f t="shared" si="39"/>
        <v>KO</v>
      </c>
      <c r="AL65" s="353" t="str">
        <f t="shared" si="39"/>
        <v>KO</v>
      </c>
      <c r="AM65" s="354" t="str">
        <f t="shared" si="39"/>
        <v>KO</v>
      </c>
      <c r="AN65" s="352" t="str">
        <f t="shared" si="39"/>
        <v>KO</v>
      </c>
      <c r="AO65" s="353" t="str">
        <f t="shared" si="39"/>
        <v>KO</v>
      </c>
      <c r="AP65" s="353" t="str">
        <f t="shared" si="39"/>
        <v>KO</v>
      </c>
      <c r="AQ65" s="354" t="str">
        <f t="shared" si="39"/>
        <v>KO</v>
      </c>
      <c r="AR65" s="363"/>
      <c r="AS65" s="352" t="str">
        <f t="shared" si="38"/>
        <v>KO</v>
      </c>
      <c r="AT65" s="354" t="str">
        <f t="shared" si="38"/>
        <v>KO</v>
      </c>
      <c r="AX65" s="300"/>
    </row>
    <row r="66" spans="1:50" ht="9.9499999999999993" hidden="1" customHeight="1" x14ac:dyDescent="0.25">
      <c r="A66" s="214">
        <v>18</v>
      </c>
      <c r="B66" s="352" t="str">
        <f t="shared" si="36"/>
        <v>KO</v>
      </c>
      <c r="C66" s="353" t="str">
        <f t="shared" si="36"/>
        <v>KO</v>
      </c>
      <c r="D66" s="353" t="str">
        <f t="shared" si="36"/>
        <v>KO</v>
      </c>
      <c r="E66" s="353" t="str">
        <f t="shared" si="36"/>
        <v>KO</v>
      </c>
      <c r="F66" s="353" t="str">
        <f t="shared" si="36"/>
        <v>KO</v>
      </c>
      <c r="G66" s="354" t="str">
        <f t="shared" si="36"/>
        <v>KO</v>
      </c>
      <c r="H66" s="352" t="str">
        <f t="shared" si="40"/>
        <v>KO</v>
      </c>
      <c r="I66" s="353" t="str">
        <f t="shared" si="40"/>
        <v>KO</v>
      </c>
      <c r="J66" s="353" t="str">
        <f t="shared" si="40"/>
        <v>KO</v>
      </c>
      <c r="K66" s="353" t="str">
        <f t="shared" si="40"/>
        <v>KO</v>
      </c>
      <c r="L66" s="354" t="str">
        <f t="shared" si="40"/>
        <v>KO</v>
      </c>
      <c r="M66" s="352" t="str">
        <f t="shared" si="40"/>
        <v>KO</v>
      </c>
      <c r="N66" s="353" t="str">
        <f t="shared" si="40"/>
        <v>KO</v>
      </c>
      <c r="O66" s="353" t="str">
        <f t="shared" si="40"/>
        <v>KO</v>
      </c>
      <c r="P66" s="353" t="str">
        <f t="shared" si="40"/>
        <v>KO</v>
      </c>
      <c r="Q66" s="353" t="str">
        <f t="shared" si="40"/>
        <v>KO</v>
      </c>
      <c r="R66" s="353" t="str">
        <f t="shared" si="40"/>
        <v>KO</v>
      </c>
      <c r="S66" s="353" t="str">
        <f t="shared" si="40"/>
        <v>KO</v>
      </c>
      <c r="T66" s="353" t="str">
        <f t="shared" si="40"/>
        <v>KO</v>
      </c>
      <c r="U66" s="354" t="str">
        <f t="shared" si="40"/>
        <v>KO</v>
      </c>
      <c r="V66" s="352" t="str">
        <f t="shared" si="40"/>
        <v>KO</v>
      </c>
      <c r="W66" s="354" t="str">
        <f t="shared" si="40"/>
        <v>KO</v>
      </c>
      <c r="X66" s="363"/>
      <c r="Y66" s="352" t="str">
        <f t="shared" si="37"/>
        <v>KO</v>
      </c>
      <c r="Z66" s="353" t="str">
        <f t="shared" si="39"/>
        <v>KO</v>
      </c>
      <c r="AA66" s="353" t="str">
        <f t="shared" si="39"/>
        <v>KO</v>
      </c>
      <c r="AB66" s="353" t="str">
        <f t="shared" si="39"/>
        <v>KO</v>
      </c>
      <c r="AC66" s="354" t="str">
        <f t="shared" si="39"/>
        <v>KO</v>
      </c>
      <c r="AD66" s="352" t="str">
        <f t="shared" si="39"/>
        <v>KO</v>
      </c>
      <c r="AE66" s="353" t="str">
        <f t="shared" si="39"/>
        <v>KO</v>
      </c>
      <c r="AF66" s="353" t="str">
        <f t="shared" si="39"/>
        <v>KO</v>
      </c>
      <c r="AG66" s="353" t="str">
        <f t="shared" si="39"/>
        <v>KO</v>
      </c>
      <c r="AH66" s="353" t="str">
        <f t="shared" si="39"/>
        <v>KO</v>
      </c>
      <c r="AI66" s="353" t="str">
        <f t="shared" si="39"/>
        <v>KO</v>
      </c>
      <c r="AJ66" s="353" t="str">
        <f t="shared" si="39"/>
        <v>KO</v>
      </c>
      <c r="AK66" s="353" t="str">
        <f t="shared" si="39"/>
        <v>KO</v>
      </c>
      <c r="AL66" s="353" t="str">
        <f t="shared" si="39"/>
        <v>KO</v>
      </c>
      <c r="AM66" s="354" t="str">
        <f t="shared" si="39"/>
        <v>KO</v>
      </c>
      <c r="AN66" s="352" t="str">
        <f t="shared" si="39"/>
        <v>KO</v>
      </c>
      <c r="AO66" s="353" t="str">
        <f t="shared" si="39"/>
        <v>KO</v>
      </c>
      <c r="AP66" s="353" t="str">
        <f t="shared" si="39"/>
        <v>KO</v>
      </c>
      <c r="AQ66" s="354" t="str">
        <f t="shared" si="39"/>
        <v>KO</v>
      </c>
      <c r="AR66" s="363"/>
      <c r="AS66" s="352" t="str">
        <f t="shared" si="38"/>
        <v>KO</v>
      </c>
      <c r="AT66" s="354" t="str">
        <f t="shared" si="38"/>
        <v>KO</v>
      </c>
      <c r="AX66" s="300"/>
    </row>
    <row r="67" spans="1:50" ht="9.9499999999999993" hidden="1" customHeight="1" x14ac:dyDescent="0.25">
      <c r="A67" s="214">
        <v>19</v>
      </c>
      <c r="B67" s="352" t="str">
        <f t="shared" si="36"/>
        <v>KO</v>
      </c>
      <c r="C67" s="353" t="str">
        <f t="shared" si="36"/>
        <v>KO</v>
      </c>
      <c r="D67" s="353" t="str">
        <f t="shared" si="36"/>
        <v>KO</v>
      </c>
      <c r="E67" s="353" t="str">
        <f t="shared" si="36"/>
        <v>KO</v>
      </c>
      <c r="F67" s="353" t="str">
        <f t="shared" si="36"/>
        <v>KO</v>
      </c>
      <c r="G67" s="354" t="str">
        <f t="shared" si="36"/>
        <v>KO</v>
      </c>
      <c r="H67" s="352" t="str">
        <f t="shared" si="40"/>
        <v>KO</v>
      </c>
      <c r="I67" s="353" t="str">
        <f t="shared" si="40"/>
        <v>KO</v>
      </c>
      <c r="J67" s="353" t="str">
        <f t="shared" si="40"/>
        <v>KO</v>
      </c>
      <c r="K67" s="353" t="str">
        <f t="shared" si="40"/>
        <v>KO</v>
      </c>
      <c r="L67" s="354" t="str">
        <f t="shared" si="40"/>
        <v>KO</v>
      </c>
      <c r="M67" s="352" t="str">
        <f t="shared" si="40"/>
        <v>KO</v>
      </c>
      <c r="N67" s="353" t="str">
        <f t="shared" si="40"/>
        <v>KO</v>
      </c>
      <c r="O67" s="353" t="str">
        <f t="shared" si="40"/>
        <v>KO</v>
      </c>
      <c r="P67" s="353" t="str">
        <f t="shared" si="40"/>
        <v>KO</v>
      </c>
      <c r="Q67" s="353" t="str">
        <f t="shared" si="40"/>
        <v>KO</v>
      </c>
      <c r="R67" s="353" t="str">
        <f t="shared" si="40"/>
        <v>KO</v>
      </c>
      <c r="S67" s="353" t="str">
        <f t="shared" si="40"/>
        <v>KO</v>
      </c>
      <c r="T67" s="353" t="str">
        <f t="shared" si="40"/>
        <v>KO</v>
      </c>
      <c r="U67" s="354" t="str">
        <f t="shared" si="40"/>
        <v>KO</v>
      </c>
      <c r="V67" s="352" t="str">
        <f t="shared" si="40"/>
        <v>KO</v>
      </c>
      <c r="W67" s="354" t="str">
        <f t="shared" si="40"/>
        <v>KO</v>
      </c>
      <c r="X67" s="363"/>
      <c r="Y67" s="352" t="str">
        <f t="shared" si="37"/>
        <v>KO</v>
      </c>
      <c r="Z67" s="353" t="str">
        <f t="shared" si="39"/>
        <v>KO</v>
      </c>
      <c r="AA67" s="353" t="str">
        <f t="shared" si="39"/>
        <v>KO</v>
      </c>
      <c r="AB67" s="353" t="str">
        <f t="shared" si="39"/>
        <v>KO</v>
      </c>
      <c r="AC67" s="354" t="str">
        <f t="shared" si="39"/>
        <v>KO</v>
      </c>
      <c r="AD67" s="352" t="str">
        <f t="shared" si="39"/>
        <v>KO</v>
      </c>
      <c r="AE67" s="353" t="str">
        <f t="shared" si="39"/>
        <v>KO</v>
      </c>
      <c r="AF67" s="353" t="str">
        <f t="shared" si="39"/>
        <v>KO</v>
      </c>
      <c r="AG67" s="353" t="str">
        <f t="shared" si="39"/>
        <v>KO</v>
      </c>
      <c r="AH67" s="353" t="str">
        <f t="shared" si="39"/>
        <v>KO</v>
      </c>
      <c r="AI67" s="353" t="str">
        <f t="shared" si="39"/>
        <v>KO</v>
      </c>
      <c r="AJ67" s="353" t="str">
        <f t="shared" si="39"/>
        <v>KO</v>
      </c>
      <c r="AK67" s="353" t="str">
        <f t="shared" si="39"/>
        <v>KO</v>
      </c>
      <c r="AL67" s="353" t="str">
        <f t="shared" si="39"/>
        <v>KO</v>
      </c>
      <c r="AM67" s="354" t="str">
        <f t="shared" si="39"/>
        <v>KO</v>
      </c>
      <c r="AN67" s="352" t="str">
        <f t="shared" si="39"/>
        <v>KO</v>
      </c>
      <c r="AO67" s="353" t="str">
        <f t="shared" si="39"/>
        <v>KO</v>
      </c>
      <c r="AP67" s="353" t="str">
        <f t="shared" si="39"/>
        <v>KO</v>
      </c>
      <c r="AQ67" s="354" t="str">
        <f t="shared" si="39"/>
        <v>KO</v>
      </c>
      <c r="AR67" s="363"/>
      <c r="AS67" s="352" t="str">
        <f t="shared" si="38"/>
        <v>KO</v>
      </c>
      <c r="AT67" s="354" t="str">
        <f t="shared" si="38"/>
        <v>KO</v>
      </c>
      <c r="AX67" s="300"/>
    </row>
    <row r="68" spans="1:50" ht="9.9499999999999993" hidden="1" customHeight="1" x14ac:dyDescent="0.25">
      <c r="A68" s="214">
        <v>20</v>
      </c>
      <c r="B68" s="352" t="str">
        <f t="shared" si="36"/>
        <v>KO</v>
      </c>
      <c r="C68" s="353" t="str">
        <f t="shared" si="36"/>
        <v>KO</v>
      </c>
      <c r="D68" s="353" t="str">
        <f t="shared" si="36"/>
        <v>KO</v>
      </c>
      <c r="E68" s="353" t="str">
        <f t="shared" si="36"/>
        <v>KO</v>
      </c>
      <c r="F68" s="353" t="str">
        <f t="shared" si="36"/>
        <v>KO</v>
      </c>
      <c r="G68" s="354" t="str">
        <f t="shared" si="36"/>
        <v>KO</v>
      </c>
      <c r="H68" s="352" t="str">
        <f t="shared" si="40"/>
        <v>KO</v>
      </c>
      <c r="I68" s="353" t="str">
        <f t="shared" si="40"/>
        <v>KO</v>
      </c>
      <c r="J68" s="353" t="str">
        <f t="shared" si="40"/>
        <v>KO</v>
      </c>
      <c r="K68" s="353" t="str">
        <f t="shared" si="40"/>
        <v>KO</v>
      </c>
      <c r="L68" s="354" t="str">
        <f t="shared" si="40"/>
        <v>KO</v>
      </c>
      <c r="M68" s="352" t="str">
        <f t="shared" si="40"/>
        <v>KO</v>
      </c>
      <c r="N68" s="353" t="str">
        <f t="shared" si="40"/>
        <v>KO</v>
      </c>
      <c r="O68" s="353" t="str">
        <f t="shared" si="40"/>
        <v>KO</v>
      </c>
      <c r="P68" s="353" t="str">
        <f t="shared" si="40"/>
        <v>KO</v>
      </c>
      <c r="Q68" s="353" t="str">
        <f t="shared" si="40"/>
        <v>KO</v>
      </c>
      <c r="R68" s="353" t="str">
        <f t="shared" si="40"/>
        <v>KO</v>
      </c>
      <c r="S68" s="353" t="str">
        <f t="shared" si="40"/>
        <v>KO</v>
      </c>
      <c r="T68" s="353" t="str">
        <f t="shared" si="40"/>
        <v>KO</v>
      </c>
      <c r="U68" s="354" t="str">
        <f t="shared" si="40"/>
        <v>KO</v>
      </c>
      <c r="V68" s="352" t="str">
        <f t="shared" si="40"/>
        <v>KO</v>
      </c>
      <c r="W68" s="354" t="str">
        <f t="shared" si="40"/>
        <v>KO</v>
      </c>
      <c r="X68" s="363"/>
      <c r="Y68" s="352" t="str">
        <f t="shared" si="37"/>
        <v>KO</v>
      </c>
      <c r="Z68" s="353" t="str">
        <f t="shared" si="39"/>
        <v>KO</v>
      </c>
      <c r="AA68" s="353" t="str">
        <f t="shared" si="39"/>
        <v>KO</v>
      </c>
      <c r="AB68" s="353" t="str">
        <f t="shared" si="39"/>
        <v>KO</v>
      </c>
      <c r="AC68" s="354" t="str">
        <f t="shared" si="39"/>
        <v>KO</v>
      </c>
      <c r="AD68" s="352" t="str">
        <f t="shared" si="39"/>
        <v>KO</v>
      </c>
      <c r="AE68" s="353" t="str">
        <f t="shared" si="39"/>
        <v>KO</v>
      </c>
      <c r="AF68" s="353" t="str">
        <f t="shared" si="39"/>
        <v>KO</v>
      </c>
      <c r="AG68" s="353" t="str">
        <f t="shared" si="39"/>
        <v>KO</v>
      </c>
      <c r="AH68" s="353" t="str">
        <f t="shared" si="39"/>
        <v>KO</v>
      </c>
      <c r="AI68" s="353" t="str">
        <f t="shared" si="39"/>
        <v>KO</v>
      </c>
      <c r="AJ68" s="353" t="str">
        <f t="shared" si="39"/>
        <v>KO</v>
      </c>
      <c r="AK68" s="353" t="str">
        <f t="shared" si="39"/>
        <v>KO</v>
      </c>
      <c r="AL68" s="353" t="str">
        <f t="shared" si="39"/>
        <v>KO</v>
      </c>
      <c r="AM68" s="354" t="str">
        <f t="shared" si="39"/>
        <v>KO</v>
      </c>
      <c r="AN68" s="352" t="str">
        <f t="shared" si="39"/>
        <v>KO</v>
      </c>
      <c r="AO68" s="353" t="str">
        <f t="shared" si="39"/>
        <v>KO</v>
      </c>
      <c r="AP68" s="353" t="str">
        <f t="shared" si="39"/>
        <v>KO</v>
      </c>
      <c r="AQ68" s="354" t="str">
        <f t="shared" si="39"/>
        <v>KO</v>
      </c>
      <c r="AR68" s="363"/>
      <c r="AS68" s="352" t="str">
        <f t="shared" si="38"/>
        <v>KO</v>
      </c>
      <c r="AT68" s="354" t="str">
        <f t="shared" si="38"/>
        <v>KO</v>
      </c>
      <c r="AX68" s="300"/>
    </row>
    <row r="69" spans="1:50" ht="9.9499999999999993" hidden="1" customHeight="1" x14ac:dyDescent="0.25">
      <c r="A69" s="214">
        <v>21</v>
      </c>
      <c r="B69" s="352" t="str">
        <f t="shared" si="36"/>
        <v>KO</v>
      </c>
      <c r="C69" s="353" t="str">
        <f t="shared" si="36"/>
        <v>KO</v>
      </c>
      <c r="D69" s="353" t="str">
        <f t="shared" si="36"/>
        <v>KO</v>
      </c>
      <c r="E69" s="353" t="str">
        <f t="shared" si="36"/>
        <v>KO</v>
      </c>
      <c r="F69" s="353" t="str">
        <f t="shared" si="36"/>
        <v>KO</v>
      </c>
      <c r="G69" s="354" t="str">
        <f t="shared" si="36"/>
        <v>KO</v>
      </c>
      <c r="H69" s="352" t="str">
        <f t="shared" si="40"/>
        <v>KO</v>
      </c>
      <c r="I69" s="353" t="str">
        <f t="shared" si="40"/>
        <v>KO</v>
      </c>
      <c r="J69" s="353" t="str">
        <f t="shared" si="40"/>
        <v>KO</v>
      </c>
      <c r="K69" s="353" t="str">
        <f t="shared" si="40"/>
        <v>KO</v>
      </c>
      <c r="L69" s="354" t="str">
        <f t="shared" si="40"/>
        <v>KO</v>
      </c>
      <c r="M69" s="352" t="str">
        <f t="shared" si="40"/>
        <v>KO</v>
      </c>
      <c r="N69" s="353" t="str">
        <f t="shared" si="40"/>
        <v>KO</v>
      </c>
      <c r="O69" s="353" t="str">
        <f t="shared" si="40"/>
        <v>KO</v>
      </c>
      <c r="P69" s="353" t="str">
        <f t="shared" si="40"/>
        <v>KO</v>
      </c>
      <c r="Q69" s="353" t="str">
        <f t="shared" si="40"/>
        <v>KO</v>
      </c>
      <c r="R69" s="353" t="str">
        <f t="shared" si="40"/>
        <v>KO</v>
      </c>
      <c r="S69" s="353" t="str">
        <f t="shared" si="40"/>
        <v>KO</v>
      </c>
      <c r="T69" s="353" t="str">
        <f t="shared" si="40"/>
        <v>KO</v>
      </c>
      <c r="U69" s="354" t="str">
        <f t="shared" si="40"/>
        <v>KO</v>
      </c>
      <c r="V69" s="352" t="str">
        <f t="shared" si="40"/>
        <v>KO</v>
      </c>
      <c r="W69" s="354" t="str">
        <f t="shared" si="40"/>
        <v>KO</v>
      </c>
      <c r="X69" s="363"/>
      <c r="Y69" s="352" t="str">
        <f t="shared" si="37"/>
        <v>KO</v>
      </c>
      <c r="Z69" s="353" t="str">
        <f t="shared" si="39"/>
        <v>KO</v>
      </c>
      <c r="AA69" s="353" t="str">
        <f t="shared" si="39"/>
        <v>KO</v>
      </c>
      <c r="AB69" s="353" t="str">
        <f t="shared" si="39"/>
        <v>KO</v>
      </c>
      <c r="AC69" s="354" t="str">
        <f t="shared" si="39"/>
        <v>KO</v>
      </c>
      <c r="AD69" s="352" t="str">
        <f t="shared" si="39"/>
        <v>KO</v>
      </c>
      <c r="AE69" s="353" t="str">
        <f t="shared" si="39"/>
        <v>KO</v>
      </c>
      <c r="AF69" s="353" t="str">
        <f t="shared" si="39"/>
        <v>KO</v>
      </c>
      <c r="AG69" s="353" t="str">
        <f t="shared" si="39"/>
        <v>KO</v>
      </c>
      <c r="AH69" s="353" t="str">
        <f t="shared" si="39"/>
        <v>KO</v>
      </c>
      <c r="AI69" s="353" t="str">
        <f t="shared" si="39"/>
        <v>KO</v>
      </c>
      <c r="AJ69" s="353" t="str">
        <f t="shared" si="39"/>
        <v>KO</v>
      </c>
      <c r="AK69" s="353" t="str">
        <f t="shared" si="39"/>
        <v>KO</v>
      </c>
      <c r="AL69" s="353" t="str">
        <f t="shared" si="39"/>
        <v>KO</v>
      </c>
      <c r="AM69" s="354" t="str">
        <f t="shared" si="39"/>
        <v>KO</v>
      </c>
      <c r="AN69" s="352" t="str">
        <f t="shared" si="39"/>
        <v>KO</v>
      </c>
      <c r="AO69" s="353" t="str">
        <f t="shared" si="39"/>
        <v>KO</v>
      </c>
      <c r="AP69" s="353" t="str">
        <f t="shared" si="39"/>
        <v>KO</v>
      </c>
      <c r="AQ69" s="354" t="str">
        <f t="shared" si="39"/>
        <v>KO</v>
      </c>
      <c r="AR69" s="363"/>
      <c r="AS69" s="352" t="str">
        <f t="shared" si="38"/>
        <v>KO</v>
      </c>
      <c r="AT69" s="354" t="str">
        <f t="shared" si="38"/>
        <v>KO</v>
      </c>
      <c r="AX69" s="300"/>
    </row>
    <row r="70" spans="1:50" ht="9.9499999999999993" hidden="1" customHeight="1" x14ac:dyDescent="0.25">
      <c r="A70" s="214">
        <v>22</v>
      </c>
      <c r="B70" s="352" t="str">
        <f t="shared" si="36"/>
        <v>KO</v>
      </c>
      <c r="C70" s="353" t="str">
        <f t="shared" si="36"/>
        <v>KO</v>
      </c>
      <c r="D70" s="353" t="str">
        <f t="shared" si="36"/>
        <v>KO</v>
      </c>
      <c r="E70" s="353" t="str">
        <f t="shared" si="36"/>
        <v>KO</v>
      </c>
      <c r="F70" s="353" t="str">
        <f t="shared" si="36"/>
        <v>KO</v>
      </c>
      <c r="G70" s="354" t="str">
        <f t="shared" si="36"/>
        <v>KO</v>
      </c>
      <c r="H70" s="352" t="str">
        <f t="shared" si="40"/>
        <v>KO</v>
      </c>
      <c r="I70" s="353" t="str">
        <f t="shared" si="40"/>
        <v>KO</v>
      </c>
      <c r="J70" s="353" t="str">
        <f t="shared" si="40"/>
        <v>KO</v>
      </c>
      <c r="K70" s="353" t="str">
        <f t="shared" si="40"/>
        <v>KO</v>
      </c>
      <c r="L70" s="354" t="str">
        <f t="shared" si="40"/>
        <v>KO</v>
      </c>
      <c r="M70" s="352" t="str">
        <f t="shared" si="40"/>
        <v>KO</v>
      </c>
      <c r="N70" s="353" t="str">
        <f t="shared" si="40"/>
        <v>KO</v>
      </c>
      <c r="O70" s="353" t="str">
        <f t="shared" si="40"/>
        <v>KO</v>
      </c>
      <c r="P70" s="353" t="str">
        <f t="shared" si="40"/>
        <v>KO</v>
      </c>
      <c r="Q70" s="353" t="str">
        <f t="shared" si="40"/>
        <v>KO</v>
      </c>
      <c r="R70" s="353" t="str">
        <f t="shared" si="40"/>
        <v>KO</v>
      </c>
      <c r="S70" s="353" t="str">
        <f t="shared" si="40"/>
        <v>KO</v>
      </c>
      <c r="T70" s="353" t="str">
        <f t="shared" si="40"/>
        <v>KO</v>
      </c>
      <c r="U70" s="354" t="str">
        <f t="shared" si="40"/>
        <v>KO</v>
      </c>
      <c r="V70" s="352" t="str">
        <f t="shared" si="40"/>
        <v>KO</v>
      </c>
      <c r="W70" s="354" t="str">
        <f t="shared" si="40"/>
        <v>KO</v>
      </c>
      <c r="X70" s="363"/>
      <c r="Y70" s="352" t="str">
        <f t="shared" si="37"/>
        <v>KO</v>
      </c>
      <c r="Z70" s="353" t="str">
        <f t="shared" si="39"/>
        <v>KO</v>
      </c>
      <c r="AA70" s="353" t="str">
        <f t="shared" si="39"/>
        <v>KO</v>
      </c>
      <c r="AB70" s="353" t="str">
        <f t="shared" si="39"/>
        <v>KO</v>
      </c>
      <c r="AC70" s="354" t="str">
        <f t="shared" si="39"/>
        <v>KO</v>
      </c>
      <c r="AD70" s="352" t="str">
        <f t="shared" si="39"/>
        <v>KO</v>
      </c>
      <c r="AE70" s="353" t="str">
        <f t="shared" si="39"/>
        <v>KO</v>
      </c>
      <c r="AF70" s="353" t="str">
        <f t="shared" si="39"/>
        <v>KO</v>
      </c>
      <c r="AG70" s="353" t="str">
        <f t="shared" si="39"/>
        <v>KO</v>
      </c>
      <c r="AH70" s="353" t="str">
        <f t="shared" si="39"/>
        <v>KO</v>
      </c>
      <c r="AI70" s="353" t="str">
        <f t="shared" si="39"/>
        <v>KO</v>
      </c>
      <c r="AJ70" s="353" t="str">
        <f t="shared" si="39"/>
        <v>KO</v>
      </c>
      <c r="AK70" s="353" t="str">
        <f t="shared" si="39"/>
        <v>KO</v>
      </c>
      <c r="AL70" s="353" t="str">
        <f t="shared" si="39"/>
        <v>KO</v>
      </c>
      <c r="AM70" s="354" t="str">
        <f t="shared" si="39"/>
        <v>KO</v>
      </c>
      <c r="AN70" s="352" t="str">
        <f t="shared" si="39"/>
        <v>KO</v>
      </c>
      <c r="AO70" s="353" t="str">
        <f t="shared" si="39"/>
        <v>KO</v>
      </c>
      <c r="AP70" s="353" t="str">
        <f t="shared" si="39"/>
        <v>KO</v>
      </c>
      <c r="AQ70" s="354" t="str">
        <f t="shared" si="39"/>
        <v>KO</v>
      </c>
      <c r="AR70" s="363"/>
      <c r="AS70" s="352" t="str">
        <f t="shared" si="38"/>
        <v>KO</v>
      </c>
      <c r="AT70" s="354" t="str">
        <f t="shared" si="38"/>
        <v>KO</v>
      </c>
      <c r="AX70" s="300"/>
    </row>
    <row r="71" spans="1:50" ht="9.9499999999999993" hidden="1" customHeight="1" x14ac:dyDescent="0.25">
      <c r="A71" s="214">
        <v>23</v>
      </c>
      <c r="B71" s="352" t="str">
        <f t="shared" si="36"/>
        <v>KO</v>
      </c>
      <c r="C71" s="353" t="str">
        <f t="shared" si="36"/>
        <v>KO</v>
      </c>
      <c r="D71" s="353" t="str">
        <f t="shared" si="36"/>
        <v>KO</v>
      </c>
      <c r="E71" s="353" t="str">
        <f t="shared" si="36"/>
        <v>KO</v>
      </c>
      <c r="F71" s="353" t="str">
        <f t="shared" si="36"/>
        <v>KO</v>
      </c>
      <c r="G71" s="354" t="str">
        <f t="shared" si="36"/>
        <v>KO</v>
      </c>
      <c r="H71" s="352" t="str">
        <f t="shared" si="40"/>
        <v>KO</v>
      </c>
      <c r="I71" s="353" t="str">
        <f t="shared" si="40"/>
        <v>KO</v>
      </c>
      <c r="J71" s="353" t="str">
        <f t="shared" si="40"/>
        <v>KO</v>
      </c>
      <c r="K71" s="353" t="str">
        <f t="shared" si="40"/>
        <v>KO</v>
      </c>
      <c r="L71" s="354" t="str">
        <f t="shared" si="40"/>
        <v>KO</v>
      </c>
      <c r="M71" s="352" t="str">
        <f t="shared" si="40"/>
        <v>KO</v>
      </c>
      <c r="N71" s="353" t="str">
        <f t="shared" si="40"/>
        <v>KO</v>
      </c>
      <c r="O71" s="353" t="str">
        <f t="shared" si="40"/>
        <v>KO</v>
      </c>
      <c r="P71" s="353" t="str">
        <f t="shared" si="40"/>
        <v>KO</v>
      </c>
      <c r="Q71" s="353" t="str">
        <f t="shared" si="40"/>
        <v>KO</v>
      </c>
      <c r="R71" s="353" t="str">
        <f t="shared" si="40"/>
        <v>KO</v>
      </c>
      <c r="S71" s="353" t="str">
        <f t="shared" si="40"/>
        <v>KO</v>
      </c>
      <c r="T71" s="353" t="str">
        <f t="shared" si="40"/>
        <v>KO</v>
      </c>
      <c r="U71" s="354" t="str">
        <f t="shared" si="40"/>
        <v>KO</v>
      </c>
      <c r="V71" s="352" t="str">
        <f t="shared" si="40"/>
        <v>KO</v>
      </c>
      <c r="W71" s="354" t="str">
        <f t="shared" si="40"/>
        <v>KO</v>
      </c>
      <c r="X71" s="363"/>
      <c r="Y71" s="352" t="str">
        <f t="shared" si="37"/>
        <v>KO</v>
      </c>
      <c r="Z71" s="353" t="str">
        <f t="shared" si="39"/>
        <v>KO</v>
      </c>
      <c r="AA71" s="353" t="str">
        <f t="shared" si="39"/>
        <v>KO</v>
      </c>
      <c r="AB71" s="353" t="str">
        <f t="shared" si="39"/>
        <v>KO</v>
      </c>
      <c r="AC71" s="354" t="str">
        <f t="shared" si="39"/>
        <v>KO</v>
      </c>
      <c r="AD71" s="352" t="str">
        <f t="shared" si="39"/>
        <v>KO</v>
      </c>
      <c r="AE71" s="353" t="str">
        <f t="shared" si="39"/>
        <v>KO</v>
      </c>
      <c r="AF71" s="353" t="str">
        <f t="shared" si="39"/>
        <v>KO</v>
      </c>
      <c r="AG71" s="353" t="str">
        <f t="shared" si="39"/>
        <v>KO</v>
      </c>
      <c r="AH71" s="353" t="str">
        <f t="shared" si="39"/>
        <v>KO</v>
      </c>
      <c r="AI71" s="353" t="str">
        <f t="shared" si="39"/>
        <v>KO</v>
      </c>
      <c r="AJ71" s="353" t="str">
        <f t="shared" si="39"/>
        <v>KO</v>
      </c>
      <c r="AK71" s="353" t="str">
        <f t="shared" si="39"/>
        <v>KO</v>
      </c>
      <c r="AL71" s="353" t="str">
        <f t="shared" si="39"/>
        <v>KO</v>
      </c>
      <c r="AM71" s="354" t="str">
        <f t="shared" si="39"/>
        <v>KO</v>
      </c>
      <c r="AN71" s="352" t="str">
        <f t="shared" si="39"/>
        <v>KO</v>
      </c>
      <c r="AO71" s="353" t="str">
        <f t="shared" si="39"/>
        <v>KO</v>
      </c>
      <c r="AP71" s="353" t="str">
        <f t="shared" si="39"/>
        <v>KO</v>
      </c>
      <c r="AQ71" s="354" t="str">
        <f t="shared" si="39"/>
        <v>KO</v>
      </c>
      <c r="AR71" s="363"/>
      <c r="AS71" s="352" t="str">
        <f t="shared" si="38"/>
        <v>KO</v>
      </c>
      <c r="AT71" s="354" t="str">
        <f t="shared" si="38"/>
        <v>KO</v>
      </c>
      <c r="AX71" s="300"/>
    </row>
    <row r="72" spans="1:50" ht="9.9499999999999993" hidden="1" customHeight="1" x14ac:dyDescent="0.25">
      <c r="A72" s="214">
        <v>24</v>
      </c>
      <c r="B72" s="352" t="str">
        <f t="shared" si="36"/>
        <v>KO</v>
      </c>
      <c r="C72" s="353" t="str">
        <f t="shared" si="36"/>
        <v>KO</v>
      </c>
      <c r="D72" s="353" t="str">
        <f t="shared" si="36"/>
        <v>KO</v>
      </c>
      <c r="E72" s="353" t="str">
        <f t="shared" si="36"/>
        <v>KO</v>
      </c>
      <c r="F72" s="353" t="str">
        <f t="shared" si="36"/>
        <v>KO</v>
      </c>
      <c r="G72" s="354" t="str">
        <f t="shared" si="36"/>
        <v>KO</v>
      </c>
      <c r="H72" s="352" t="str">
        <f t="shared" si="40"/>
        <v>KO</v>
      </c>
      <c r="I72" s="353" t="str">
        <f t="shared" si="40"/>
        <v>KO</v>
      </c>
      <c r="J72" s="353" t="str">
        <f t="shared" si="40"/>
        <v>KO</v>
      </c>
      <c r="K72" s="353" t="str">
        <f t="shared" si="40"/>
        <v>KO</v>
      </c>
      <c r="L72" s="354" t="str">
        <f t="shared" si="40"/>
        <v>KO</v>
      </c>
      <c r="M72" s="352" t="str">
        <f t="shared" si="40"/>
        <v>KO</v>
      </c>
      <c r="N72" s="353" t="str">
        <f t="shared" si="40"/>
        <v>KO</v>
      </c>
      <c r="O72" s="353" t="str">
        <f t="shared" si="40"/>
        <v>KO</v>
      </c>
      <c r="P72" s="353" t="str">
        <f t="shared" si="40"/>
        <v>KO</v>
      </c>
      <c r="Q72" s="353" t="str">
        <f t="shared" si="40"/>
        <v>KO</v>
      </c>
      <c r="R72" s="353" t="str">
        <f t="shared" si="40"/>
        <v>KO</v>
      </c>
      <c r="S72" s="353" t="str">
        <f t="shared" si="40"/>
        <v>KO</v>
      </c>
      <c r="T72" s="353" t="str">
        <f t="shared" si="40"/>
        <v>KO</v>
      </c>
      <c r="U72" s="354" t="str">
        <f t="shared" si="40"/>
        <v>KO</v>
      </c>
      <c r="V72" s="352" t="str">
        <f t="shared" si="40"/>
        <v>KO</v>
      </c>
      <c r="W72" s="354" t="str">
        <f t="shared" si="40"/>
        <v>KO</v>
      </c>
      <c r="X72" s="363"/>
      <c r="Y72" s="352" t="str">
        <f t="shared" si="37"/>
        <v>KO</v>
      </c>
      <c r="Z72" s="353" t="str">
        <f t="shared" si="39"/>
        <v>KO</v>
      </c>
      <c r="AA72" s="353" t="str">
        <f t="shared" si="39"/>
        <v>KO</v>
      </c>
      <c r="AB72" s="353" t="str">
        <f t="shared" si="39"/>
        <v>KO</v>
      </c>
      <c r="AC72" s="354" t="str">
        <f t="shared" si="39"/>
        <v>KO</v>
      </c>
      <c r="AD72" s="352" t="str">
        <f t="shared" si="39"/>
        <v>KO</v>
      </c>
      <c r="AE72" s="353" t="str">
        <f t="shared" si="39"/>
        <v>KO</v>
      </c>
      <c r="AF72" s="353" t="str">
        <f t="shared" si="39"/>
        <v>KO</v>
      </c>
      <c r="AG72" s="353" t="str">
        <f t="shared" si="39"/>
        <v>KO</v>
      </c>
      <c r="AH72" s="353" t="str">
        <f t="shared" si="39"/>
        <v>KO</v>
      </c>
      <c r="AI72" s="353" t="str">
        <f t="shared" si="39"/>
        <v>KO</v>
      </c>
      <c r="AJ72" s="353" t="str">
        <f t="shared" si="39"/>
        <v>KO</v>
      </c>
      <c r="AK72" s="353" t="str">
        <f t="shared" si="39"/>
        <v>KO</v>
      </c>
      <c r="AL72" s="353" t="str">
        <f t="shared" si="39"/>
        <v>KO</v>
      </c>
      <c r="AM72" s="354" t="str">
        <f t="shared" si="39"/>
        <v>KO</v>
      </c>
      <c r="AN72" s="352" t="str">
        <f t="shared" si="39"/>
        <v>KO</v>
      </c>
      <c r="AO72" s="353" t="str">
        <f t="shared" si="39"/>
        <v>KO</v>
      </c>
      <c r="AP72" s="353" t="str">
        <f t="shared" si="39"/>
        <v>KO</v>
      </c>
      <c r="AQ72" s="354" t="str">
        <f t="shared" si="39"/>
        <v>KO</v>
      </c>
      <c r="AR72" s="363"/>
      <c r="AS72" s="352" t="str">
        <f t="shared" si="38"/>
        <v>KO</v>
      </c>
      <c r="AT72" s="354" t="str">
        <f t="shared" si="38"/>
        <v>KO</v>
      </c>
      <c r="AX72" s="300"/>
    </row>
    <row r="73" spans="1:50" ht="9.9499999999999993" hidden="1" customHeight="1" x14ac:dyDescent="0.25">
      <c r="A73" s="214">
        <v>25</v>
      </c>
      <c r="B73" s="352" t="str">
        <f t="shared" si="36"/>
        <v>KO</v>
      </c>
      <c r="C73" s="353" t="str">
        <f t="shared" si="36"/>
        <v>KO</v>
      </c>
      <c r="D73" s="353" t="str">
        <f t="shared" si="36"/>
        <v>KO</v>
      </c>
      <c r="E73" s="353" t="str">
        <f t="shared" si="36"/>
        <v>KO</v>
      </c>
      <c r="F73" s="353" t="str">
        <f t="shared" si="36"/>
        <v>KO</v>
      </c>
      <c r="G73" s="354" t="str">
        <f t="shared" si="36"/>
        <v>KO</v>
      </c>
      <c r="H73" s="352" t="str">
        <f t="shared" si="40"/>
        <v>KO</v>
      </c>
      <c r="I73" s="353" t="str">
        <f t="shared" si="40"/>
        <v>KO</v>
      </c>
      <c r="J73" s="353" t="str">
        <f t="shared" si="40"/>
        <v>KO</v>
      </c>
      <c r="K73" s="353" t="str">
        <f t="shared" si="40"/>
        <v>KO</v>
      </c>
      <c r="L73" s="354" t="str">
        <f t="shared" si="40"/>
        <v>KO</v>
      </c>
      <c r="M73" s="352" t="str">
        <f t="shared" si="40"/>
        <v>KO</v>
      </c>
      <c r="N73" s="353" t="str">
        <f t="shared" si="40"/>
        <v>KO</v>
      </c>
      <c r="O73" s="353" t="str">
        <f t="shared" si="40"/>
        <v>KO</v>
      </c>
      <c r="P73" s="353" t="str">
        <f t="shared" si="40"/>
        <v>KO</v>
      </c>
      <c r="Q73" s="353" t="str">
        <f t="shared" si="40"/>
        <v>KO</v>
      </c>
      <c r="R73" s="353" t="str">
        <f t="shared" si="40"/>
        <v>KO</v>
      </c>
      <c r="S73" s="353" t="str">
        <f t="shared" si="40"/>
        <v>KO</v>
      </c>
      <c r="T73" s="353" t="str">
        <f t="shared" si="40"/>
        <v>KO</v>
      </c>
      <c r="U73" s="354" t="str">
        <f t="shared" si="40"/>
        <v>KO</v>
      </c>
      <c r="V73" s="352" t="str">
        <f t="shared" si="40"/>
        <v>KO</v>
      </c>
      <c r="W73" s="354" t="str">
        <f t="shared" si="40"/>
        <v>KO</v>
      </c>
      <c r="X73" s="363"/>
      <c r="Y73" s="352" t="str">
        <f t="shared" si="37"/>
        <v>KO</v>
      </c>
      <c r="Z73" s="353" t="str">
        <f t="shared" si="39"/>
        <v>KO</v>
      </c>
      <c r="AA73" s="353" t="str">
        <f t="shared" si="39"/>
        <v>KO</v>
      </c>
      <c r="AB73" s="353" t="str">
        <f t="shared" si="39"/>
        <v>KO</v>
      </c>
      <c r="AC73" s="354" t="str">
        <f t="shared" si="39"/>
        <v>KO</v>
      </c>
      <c r="AD73" s="352" t="str">
        <f t="shared" si="39"/>
        <v>KO</v>
      </c>
      <c r="AE73" s="353" t="str">
        <f t="shared" si="39"/>
        <v>KO</v>
      </c>
      <c r="AF73" s="353" t="str">
        <f t="shared" si="39"/>
        <v>KO</v>
      </c>
      <c r="AG73" s="353" t="str">
        <f t="shared" si="39"/>
        <v>KO</v>
      </c>
      <c r="AH73" s="353" t="str">
        <f t="shared" si="39"/>
        <v>KO</v>
      </c>
      <c r="AI73" s="353" t="str">
        <f t="shared" si="39"/>
        <v>KO</v>
      </c>
      <c r="AJ73" s="353" t="str">
        <f t="shared" si="39"/>
        <v>KO</v>
      </c>
      <c r="AK73" s="353" t="str">
        <f t="shared" si="39"/>
        <v>KO</v>
      </c>
      <c r="AL73" s="353" t="str">
        <f t="shared" si="39"/>
        <v>KO</v>
      </c>
      <c r="AM73" s="354" t="str">
        <f t="shared" si="39"/>
        <v>KO</v>
      </c>
      <c r="AN73" s="352" t="str">
        <f t="shared" si="39"/>
        <v>KO</v>
      </c>
      <c r="AO73" s="353" t="str">
        <f t="shared" si="39"/>
        <v>KO</v>
      </c>
      <c r="AP73" s="353" t="str">
        <f t="shared" si="39"/>
        <v>KO</v>
      </c>
      <c r="AQ73" s="354" t="str">
        <f t="shared" si="39"/>
        <v>KO</v>
      </c>
      <c r="AR73" s="363"/>
      <c r="AS73" s="352" t="str">
        <f t="shared" si="38"/>
        <v>KO</v>
      </c>
      <c r="AT73" s="354" t="str">
        <f t="shared" si="38"/>
        <v>KO</v>
      </c>
      <c r="AX73" s="300"/>
    </row>
    <row r="74" spans="1:50" ht="9.9499999999999993" hidden="1" customHeight="1" x14ac:dyDescent="0.25">
      <c r="A74" s="214">
        <v>26</v>
      </c>
      <c r="B74" s="352" t="str">
        <f t="shared" si="36"/>
        <v>KO</v>
      </c>
      <c r="C74" s="353" t="str">
        <f t="shared" si="36"/>
        <v>KO</v>
      </c>
      <c r="D74" s="353" t="str">
        <f t="shared" si="36"/>
        <v>KO</v>
      </c>
      <c r="E74" s="353" t="str">
        <f t="shared" si="36"/>
        <v>KO</v>
      </c>
      <c r="F74" s="353" t="str">
        <f t="shared" si="36"/>
        <v>KO</v>
      </c>
      <c r="G74" s="354" t="str">
        <f t="shared" si="36"/>
        <v>KO</v>
      </c>
      <c r="H74" s="352" t="str">
        <f t="shared" si="40"/>
        <v>KO</v>
      </c>
      <c r="I74" s="353" t="str">
        <f t="shared" si="40"/>
        <v>KO</v>
      </c>
      <c r="J74" s="353" t="str">
        <f t="shared" si="40"/>
        <v>KO</v>
      </c>
      <c r="K74" s="353" t="str">
        <f t="shared" si="40"/>
        <v>KO</v>
      </c>
      <c r="L74" s="354" t="str">
        <f t="shared" si="40"/>
        <v>KO</v>
      </c>
      <c r="M74" s="352" t="str">
        <f t="shared" si="40"/>
        <v>KO</v>
      </c>
      <c r="N74" s="353" t="str">
        <f t="shared" si="40"/>
        <v>KO</v>
      </c>
      <c r="O74" s="353" t="str">
        <f t="shared" si="40"/>
        <v>KO</v>
      </c>
      <c r="P74" s="353" t="str">
        <f t="shared" si="40"/>
        <v>KO</v>
      </c>
      <c r="Q74" s="353" t="str">
        <f t="shared" si="40"/>
        <v>KO</v>
      </c>
      <c r="R74" s="353" t="str">
        <f t="shared" si="40"/>
        <v>KO</v>
      </c>
      <c r="S74" s="353" t="str">
        <f t="shared" si="40"/>
        <v>KO</v>
      </c>
      <c r="T74" s="353" t="str">
        <f t="shared" si="40"/>
        <v>KO</v>
      </c>
      <c r="U74" s="354" t="str">
        <f t="shared" si="40"/>
        <v>KO</v>
      </c>
      <c r="V74" s="352" t="str">
        <f t="shared" si="40"/>
        <v>KO</v>
      </c>
      <c r="W74" s="354" t="str">
        <f t="shared" si="40"/>
        <v>KO</v>
      </c>
      <c r="X74" s="363"/>
      <c r="Y74" s="352" t="str">
        <f t="shared" si="37"/>
        <v>KO</v>
      </c>
      <c r="Z74" s="353" t="str">
        <f t="shared" si="39"/>
        <v>KO</v>
      </c>
      <c r="AA74" s="353" t="str">
        <f t="shared" si="39"/>
        <v>KO</v>
      </c>
      <c r="AB74" s="353" t="str">
        <f t="shared" si="39"/>
        <v>KO</v>
      </c>
      <c r="AC74" s="354" t="str">
        <f t="shared" si="39"/>
        <v>KO</v>
      </c>
      <c r="AD74" s="352" t="str">
        <f t="shared" si="39"/>
        <v>KO</v>
      </c>
      <c r="AE74" s="353" t="str">
        <f t="shared" si="39"/>
        <v>KO</v>
      </c>
      <c r="AF74" s="353" t="str">
        <f t="shared" si="39"/>
        <v>KO</v>
      </c>
      <c r="AG74" s="353" t="str">
        <f t="shared" si="39"/>
        <v>KO</v>
      </c>
      <c r="AH74" s="353" t="str">
        <f t="shared" si="39"/>
        <v>KO</v>
      </c>
      <c r="AI74" s="353" t="str">
        <f t="shared" si="39"/>
        <v>KO</v>
      </c>
      <c r="AJ74" s="353" t="str">
        <f t="shared" si="39"/>
        <v>KO</v>
      </c>
      <c r="AK74" s="353" t="str">
        <f t="shared" si="39"/>
        <v>KO</v>
      </c>
      <c r="AL74" s="353" t="str">
        <f t="shared" si="39"/>
        <v>KO</v>
      </c>
      <c r="AM74" s="354" t="str">
        <f t="shared" si="39"/>
        <v>KO</v>
      </c>
      <c r="AN74" s="352" t="str">
        <f t="shared" si="39"/>
        <v>KO</v>
      </c>
      <c r="AO74" s="353" t="str">
        <f t="shared" si="39"/>
        <v>KO</v>
      </c>
      <c r="AP74" s="353" t="str">
        <f t="shared" si="39"/>
        <v>KO</v>
      </c>
      <c r="AQ74" s="354" t="str">
        <f t="shared" si="39"/>
        <v>KO</v>
      </c>
      <c r="AR74" s="363"/>
      <c r="AS74" s="352" t="str">
        <f t="shared" si="38"/>
        <v>KO</v>
      </c>
      <c r="AT74" s="354" t="str">
        <f t="shared" si="38"/>
        <v>KO</v>
      </c>
    </row>
    <row r="75" spans="1:50" ht="9.9499999999999993" hidden="1" customHeight="1" x14ac:dyDescent="0.25">
      <c r="A75" s="214">
        <v>27</v>
      </c>
      <c r="B75" s="352" t="str">
        <f t="shared" si="36"/>
        <v>KO</v>
      </c>
      <c r="C75" s="353" t="str">
        <f t="shared" si="36"/>
        <v>KO</v>
      </c>
      <c r="D75" s="353" t="str">
        <f t="shared" si="36"/>
        <v>KO</v>
      </c>
      <c r="E75" s="353" t="str">
        <f t="shared" si="36"/>
        <v>KO</v>
      </c>
      <c r="F75" s="353" t="str">
        <f t="shared" si="36"/>
        <v>KO</v>
      </c>
      <c r="G75" s="354" t="str">
        <f t="shared" si="36"/>
        <v>KO</v>
      </c>
      <c r="H75" s="352" t="str">
        <f t="shared" si="40"/>
        <v>KO</v>
      </c>
      <c r="I75" s="353" t="str">
        <f t="shared" si="40"/>
        <v>KO</v>
      </c>
      <c r="J75" s="353" t="str">
        <f t="shared" si="40"/>
        <v>KO</v>
      </c>
      <c r="K75" s="353" t="str">
        <f t="shared" si="40"/>
        <v>KO</v>
      </c>
      <c r="L75" s="354" t="str">
        <f t="shared" si="40"/>
        <v>KO</v>
      </c>
      <c r="M75" s="352" t="str">
        <f t="shared" si="40"/>
        <v>KO</v>
      </c>
      <c r="N75" s="353" t="str">
        <f t="shared" si="40"/>
        <v>KO</v>
      </c>
      <c r="O75" s="353" t="str">
        <f t="shared" si="40"/>
        <v>KO</v>
      </c>
      <c r="P75" s="353" t="str">
        <f t="shared" si="40"/>
        <v>KO</v>
      </c>
      <c r="Q75" s="353" t="str">
        <f t="shared" si="40"/>
        <v>KO</v>
      </c>
      <c r="R75" s="353" t="str">
        <f t="shared" si="40"/>
        <v>KO</v>
      </c>
      <c r="S75" s="353" t="str">
        <f t="shared" si="40"/>
        <v>KO</v>
      </c>
      <c r="T75" s="353" t="str">
        <f t="shared" si="40"/>
        <v>KO</v>
      </c>
      <c r="U75" s="354" t="str">
        <f t="shared" si="40"/>
        <v>KO</v>
      </c>
      <c r="V75" s="352" t="str">
        <f t="shared" si="40"/>
        <v>KO</v>
      </c>
      <c r="W75" s="354" t="str">
        <f t="shared" si="40"/>
        <v>KO</v>
      </c>
      <c r="X75" s="363"/>
      <c r="Y75" s="352" t="str">
        <f t="shared" si="37"/>
        <v>KO</v>
      </c>
      <c r="Z75" s="353" t="str">
        <f t="shared" si="39"/>
        <v>KO</v>
      </c>
      <c r="AA75" s="353" t="str">
        <f t="shared" si="39"/>
        <v>KO</v>
      </c>
      <c r="AB75" s="353" t="str">
        <f t="shared" si="39"/>
        <v>KO</v>
      </c>
      <c r="AC75" s="354" t="str">
        <f t="shared" si="39"/>
        <v>KO</v>
      </c>
      <c r="AD75" s="352" t="str">
        <f t="shared" si="39"/>
        <v>KO</v>
      </c>
      <c r="AE75" s="353" t="str">
        <f t="shared" si="39"/>
        <v>KO</v>
      </c>
      <c r="AF75" s="353" t="str">
        <f t="shared" si="39"/>
        <v>KO</v>
      </c>
      <c r="AG75" s="353" t="str">
        <f t="shared" si="39"/>
        <v>KO</v>
      </c>
      <c r="AH75" s="353" t="str">
        <f t="shared" si="39"/>
        <v>KO</v>
      </c>
      <c r="AI75" s="353" t="str">
        <f t="shared" si="39"/>
        <v>KO</v>
      </c>
      <c r="AJ75" s="353" t="str">
        <f t="shared" si="39"/>
        <v>KO</v>
      </c>
      <c r="AK75" s="353" t="str">
        <f t="shared" si="39"/>
        <v>KO</v>
      </c>
      <c r="AL75" s="353" t="str">
        <f t="shared" si="39"/>
        <v>KO</v>
      </c>
      <c r="AM75" s="354" t="str">
        <f t="shared" si="39"/>
        <v>KO</v>
      </c>
      <c r="AN75" s="352" t="str">
        <f t="shared" si="39"/>
        <v>KO</v>
      </c>
      <c r="AO75" s="353" t="str">
        <f t="shared" si="39"/>
        <v>KO</v>
      </c>
      <c r="AP75" s="353" t="str">
        <f t="shared" si="39"/>
        <v>KO</v>
      </c>
      <c r="AQ75" s="354" t="str">
        <f t="shared" si="39"/>
        <v>KO</v>
      </c>
      <c r="AR75" s="363"/>
      <c r="AS75" s="352" t="str">
        <f t="shared" si="38"/>
        <v>KO</v>
      </c>
      <c r="AT75" s="354" t="str">
        <f t="shared" si="38"/>
        <v>KO</v>
      </c>
    </row>
    <row r="76" spans="1:50" ht="9.9499999999999993" hidden="1" customHeight="1" x14ac:dyDescent="0.25">
      <c r="A76" s="214">
        <v>28</v>
      </c>
      <c r="B76" s="352" t="str">
        <f t="shared" si="36"/>
        <v>KO</v>
      </c>
      <c r="C76" s="353" t="str">
        <f t="shared" si="36"/>
        <v>KO</v>
      </c>
      <c r="D76" s="353" t="str">
        <f t="shared" si="36"/>
        <v>KO</v>
      </c>
      <c r="E76" s="353" t="str">
        <f t="shared" si="36"/>
        <v>KO</v>
      </c>
      <c r="F76" s="353" t="str">
        <f t="shared" si="36"/>
        <v>KO</v>
      </c>
      <c r="G76" s="354" t="str">
        <f t="shared" si="36"/>
        <v>KO</v>
      </c>
      <c r="H76" s="352" t="str">
        <f t="shared" si="40"/>
        <v>KO</v>
      </c>
      <c r="I76" s="353" t="str">
        <f t="shared" si="40"/>
        <v>KO</v>
      </c>
      <c r="J76" s="353" t="str">
        <f t="shared" si="40"/>
        <v>KO</v>
      </c>
      <c r="K76" s="353" t="str">
        <f t="shared" si="40"/>
        <v>KO</v>
      </c>
      <c r="L76" s="354" t="str">
        <f t="shared" si="40"/>
        <v>KO</v>
      </c>
      <c r="M76" s="352" t="str">
        <f t="shared" si="40"/>
        <v>KO</v>
      </c>
      <c r="N76" s="353" t="str">
        <f t="shared" si="40"/>
        <v>KO</v>
      </c>
      <c r="O76" s="353" t="str">
        <f t="shared" si="40"/>
        <v>KO</v>
      </c>
      <c r="P76" s="353" t="str">
        <f t="shared" si="40"/>
        <v>KO</v>
      </c>
      <c r="Q76" s="353" t="str">
        <f t="shared" si="40"/>
        <v>KO</v>
      </c>
      <c r="R76" s="353" t="str">
        <f t="shared" si="40"/>
        <v>KO</v>
      </c>
      <c r="S76" s="353" t="str">
        <f t="shared" si="40"/>
        <v>KO</v>
      </c>
      <c r="T76" s="353" t="str">
        <f t="shared" si="40"/>
        <v>KO</v>
      </c>
      <c r="U76" s="354" t="str">
        <f t="shared" si="40"/>
        <v>KO</v>
      </c>
      <c r="V76" s="352" t="str">
        <f t="shared" si="40"/>
        <v>KO</v>
      </c>
      <c r="W76" s="354" t="str">
        <f t="shared" si="40"/>
        <v>KO</v>
      </c>
      <c r="X76" s="363"/>
      <c r="Y76" s="352" t="str">
        <f t="shared" si="37"/>
        <v>KO</v>
      </c>
      <c r="Z76" s="353" t="str">
        <f t="shared" si="39"/>
        <v>KO</v>
      </c>
      <c r="AA76" s="353" t="str">
        <f t="shared" si="39"/>
        <v>KO</v>
      </c>
      <c r="AB76" s="353" t="str">
        <f t="shared" si="39"/>
        <v>KO</v>
      </c>
      <c r="AC76" s="354" t="str">
        <f t="shared" si="39"/>
        <v>KO</v>
      </c>
      <c r="AD76" s="352" t="str">
        <f t="shared" si="39"/>
        <v>KO</v>
      </c>
      <c r="AE76" s="353" t="str">
        <f t="shared" si="39"/>
        <v>KO</v>
      </c>
      <c r="AF76" s="353" t="str">
        <f t="shared" si="39"/>
        <v>KO</v>
      </c>
      <c r="AG76" s="353" t="str">
        <f t="shared" si="39"/>
        <v>KO</v>
      </c>
      <c r="AH76" s="353" t="str">
        <f t="shared" si="39"/>
        <v>KO</v>
      </c>
      <c r="AI76" s="353" t="str">
        <f t="shared" si="39"/>
        <v>KO</v>
      </c>
      <c r="AJ76" s="353" t="str">
        <f t="shared" si="39"/>
        <v>KO</v>
      </c>
      <c r="AK76" s="353" t="str">
        <f t="shared" si="39"/>
        <v>KO</v>
      </c>
      <c r="AL76" s="353" t="str">
        <f t="shared" si="39"/>
        <v>KO</v>
      </c>
      <c r="AM76" s="354" t="str">
        <f t="shared" si="39"/>
        <v>KO</v>
      </c>
      <c r="AN76" s="352" t="str">
        <f t="shared" si="39"/>
        <v>KO</v>
      </c>
      <c r="AO76" s="353" t="str">
        <f t="shared" si="39"/>
        <v>KO</v>
      </c>
      <c r="AP76" s="353" t="str">
        <f t="shared" si="39"/>
        <v>KO</v>
      </c>
      <c r="AQ76" s="354" t="str">
        <f t="shared" si="39"/>
        <v>KO</v>
      </c>
      <c r="AR76" s="363"/>
      <c r="AS76" s="352" t="str">
        <f t="shared" si="38"/>
        <v>KO</v>
      </c>
      <c r="AT76" s="354" t="str">
        <f t="shared" si="38"/>
        <v>KO</v>
      </c>
    </row>
    <row r="77" spans="1:50" ht="9.9499999999999993" hidden="1" customHeight="1" x14ac:dyDescent="0.25">
      <c r="A77" s="214">
        <v>29</v>
      </c>
      <c r="B77" s="352" t="str">
        <f t="shared" si="36"/>
        <v>KO</v>
      </c>
      <c r="C77" s="353" t="str">
        <f t="shared" si="36"/>
        <v>KO</v>
      </c>
      <c r="D77" s="353" t="str">
        <f t="shared" si="36"/>
        <v>KO</v>
      </c>
      <c r="E77" s="353" t="str">
        <f t="shared" si="36"/>
        <v>KO</v>
      </c>
      <c r="F77" s="353" t="str">
        <f t="shared" si="36"/>
        <v>KO</v>
      </c>
      <c r="G77" s="354" t="str">
        <f t="shared" si="36"/>
        <v>KO</v>
      </c>
      <c r="H77" s="352" t="str">
        <f t="shared" si="40"/>
        <v>KO</v>
      </c>
      <c r="I77" s="353" t="str">
        <f t="shared" si="40"/>
        <v>KO</v>
      </c>
      <c r="J77" s="353" t="str">
        <f t="shared" si="40"/>
        <v>KO</v>
      </c>
      <c r="K77" s="353" t="str">
        <f t="shared" si="40"/>
        <v>KO</v>
      </c>
      <c r="L77" s="354" t="str">
        <f t="shared" si="40"/>
        <v>KO</v>
      </c>
      <c r="M77" s="352" t="str">
        <f t="shared" si="40"/>
        <v>KO</v>
      </c>
      <c r="N77" s="353" t="str">
        <f t="shared" si="40"/>
        <v>KO</v>
      </c>
      <c r="O77" s="353" t="str">
        <f t="shared" si="40"/>
        <v>KO</v>
      </c>
      <c r="P77" s="353" t="str">
        <f t="shared" si="40"/>
        <v>KO</v>
      </c>
      <c r="Q77" s="353" t="str">
        <f t="shared" si="40"/>
        <v>KO</v>
      </c>
      <c r="R77" s="353" t="str">
        <f t="shared" si="40"/>
        <v>KO</v>
      </c>
      <c r="S77" s="353" t="str">
        <f t="shared" si="40"/>
        <v>KO</v>
      </c>
      <c r="T77" s="353" t="str">
        <f t="shared" si="40"/>
        <v>KO</v>
      </c>
      <c r="U77" s="354" t="str">
        <f t="shared" si="40"/>
        <v>KO</v>
      </c>
      <c r="V77" s="352" t="str">
        <f t="shared" si="40"/>
        <v>KO</v>
      </c>
      <c r="W77" s="354" t="str">
        <f t="shared" si="40"/>
        <v>KO</v>
      </c>
      <c r="X77" s="363"/>
      <c r="Y77" s="352" t="str">
        <f t="shared" si="37"/>
        <v>KO</v>
      </c>
      <c r="Z77" s="353" t="str">
        <f t="shared" si="39"/>
        <v>KO</v>
      </c>
      <c r="AA77" s="353" t="str">
        <f t="shared" si="39"/>
        <v>KO</v>
      </c>
      <c r="AB77" s="353" t="str">
        <f t="shared" si="39"/>
        <v>KO</v>
      </c>
      <c r="AC77" s="354" t="str">
        <f t="shared" si="39"/>
        <v>KO</v>
      </c>
      <c r="AD77" s="352" t="str">
        <f t="shared" si="39"/>
        <v>KO</v>
      </c>
      <c r="AE77" s="353" t="str">
        <f t="shared" si="39"/>
        <v>KO</v>
      </c>
      <c r="AF77" s="353" t="str">
        <f t="shared" si="39"/>
        <v>KO</v>
      </c>
      <c r="AG77" s="353" t="str">
        <f t="shared" si="39"/>
        <v>KO</v>
      </c>
      <c r="AH77" s="353" t="str">
        <f t="shared" si="39"/>
        <v>KO</v>
      </c>
      <c r="AI77" s="353" t="str">
        <f t="shared" si="39"/>
        <v>KO</v>
      </c>
      <c r="AJ77" s="353" t="str">
        <f t="shared" si="39"/>
        <v>KO</v>
      </c>
      <c r="AK77" s="353" t="str">
        <f t="shared" si="39"/>
        <v>KO</v>
      </c>
      <c r="AL77" s="353" t="str">
        <f t="shared" si="39"/>
        <v>KO</v>
      </c>
      <c r="AM77" s="354" t="str">
        <f t="shared" si="39"/>
        <v>KO</v>
      </c>
      <c r="AN77" s="352" t="str">
        <f t="shared" si="39"/>
        <v>KO</v>
      </c>
      <c r="AO77" s="353" t="str">
        <f t="shared" si="39"/>
        <v>KO</v>
      </c>
      <c r="AP77" s="353" t="str">
        <f t="shared" si="39"/>
        <v>KO</v>
      </c>
      <c r="AQ77" s="354" t="str">
        <f t="shared" si="39"/>
        <v>KO</v>
      </c>
      <c r="AR77" s="363"/>
      <c r="AS77" s="352" t="str">
        <f t="shared" si="38"/>
        <v>KO</v>
      </c>
      <c r="AT77" s="354" t="str">
        <f t="shared" si="38"/>
        <v>KO</v>
      </c>
    </row>
    <row r="78" spans="1:50" ht="9.9499999999999993" hidden="1" customHeight="1" x14ac:dyDescent="0.25">
      <c r="A78" s="214">
        <v>30</v>
      </c>
      <c r="B78" s="352" t="str">
        <f t="shared" si="36"/>
        <v>KO</v>
      </c>
      <c r="C78" s="353" t="str">
        <f t="shared" si="36"/>
        <v>KO</v>
      </c>
      <c r="D78" s="353" t="str">
        <f t="shared" si="36"/>
        <v>KO</v>
      </c>
      <c r="E78" s="353" t="str">
        <f t="shared" si="36"/>
        <v>KO</v>
      </c>
      <c r="F78" s="353" t="str">
        <f t="shared" si="36"/>
        <v>KO</v>
      </c>
      <c r="G78" s="354" t="str">
        <f t="shared" si="36"/>
        <v>KO</v>
      </c>
      <c r="H78" s="352" t="str">
        <f t="shared" si="40"/>
        <v>KO</v>
      </c>
      <c r="I78" s="353" t="str">
        <f t="shared" si="40"/>
        <v>KO</v>
      </c>
      <c r="J78" s="353" t="str">
        <f t="shared" si="40"/>
        <v>KO</v>
      </c>
      <c r="K78" s="353" t="str">
        <f t="shared" si="40"/>
        <v>KO</v>
      </c>
      <c r="L78" s="354" t="str">
        <f t="shared" si="40"/>
        <v>KO</v>
      </c>
      <c r="M78" s="352" t="str">
        <f t="shared" si="40"/>
        <v>KO</v>
      </c>
      <c r="N78" s="353" t="str">
        <f t="shared" si="40"/>
        <v>KO</v>
      </c>
      <c r="O78" s="353" t="str">
        <f t="shared" si="40"/>
        <v>KO</v>
      </c>
      <c r="P78" s="353" t="str">
        <f t="shared" si="40"/>
        <v>KO</v>
      </c>
      <c r="Q78" s="353" t="str">
        <f t="shared" si="40"/>
        <v>KO</v>
      </c>
      <c r="R78" s="353" t="str">
        <f t="shared" si="40"/>
        <v>KO</v>
      </c>
      <c r="S78" s="353" t="str">
        <f t="shared" si="40"/>
        <v>KO</v>
      </c>
      <c r="T78" s="353" t="str">
        <f t="shared" si="40"/>
        <v>KO</v>
      </c>
      <c r="U78" s="354" t="str">
        <f t="shared" si="40"/>
        <v>KO</v>
      </c>
      <c r="V78" s="352" t="str">
        <f t="shared" si="40"/>
        <v>KO</v>
      </c>
      <c r="W78" s="354" t="str">
        <f t="shared" si="40"/>
        <v>KO</v>
      </c>
      <c r="X78" s="363"/>
      <c r="Y78" s="352" t="str">
        <f t="shared" si="37"/>
        <v>KO</v>
      </c>
      <c r="Z78" s="353" t="str">
        <f t="shared" si="39"/>
        <v>KO</v>
      </c>
      <c r="AA78" s="353" t="str">
        <f t="shared" si="39"/>
        <v>KO</v>
      </c>
      <c r="AB78" s="353" t="str">
        <f t="shared" si="39"/>
        <v>KO</v>
      </c>
      <c r="AC78" s="354" t="str">
        <f t="shared" ref="Z78:AQ88" si="41">IF($A78&gt;AC$48,"KO","OK")</f>
        <v>KO</v>
      </c>
      <c r="AD78" s="352" t="str">
        <f t="shared" si="41"/>
        <v>KO</v>
      </c>
      <c r="AE78" s="353" t="str">
        <f t="shared" si="41"/>
        <v>KO</v>
      </c>
      <c r="AF78" s="353" t="str">
        <f t="shared" si="41"/>
        <v>KO</v>
      </c>
      <c r="AG78" s="353" t="str">
        <f t="shared" si="41"/>
        <v>KO</v>
      </c>
      <c r="AH78" s="353" t="str">
        <f t="shared" si="41"/>
        <v>KO</v>
      </c>
      <c r="AI78" s="353" t="str">
        <f t="shared" si="41"/>
        <v>KO</v>
      </c>
      <c r="AJ78" s="353" t="str">
        <f t="shared" si="41"/>
        <v>KO</v>
      </c>
      <c r="AK78" s="353" t="str">
        <f t="shared" si="41"/>
        <v>KO</v>
      </c>
      <c r="AL78" s="353" t="str">
        <f t="shared" si="41"/>
        <v>KO</v>
      </c>
      <c r="AM78" s="354" t="str">
        <f t="shared" si="41"/>
        <v>KO</v>
      </c>
      <c r="AN78" s="352" t="str">
        <f t="shared" si="41"/>
        <v>KO</v>
      </c>
      <c r="AO78" s="353" t="str">
        <f t="shared" si="41"/>
        <v>KO</v>
      </c>
      <c r="AP78" s="353" t="str">
        <f t="shared" si="41"/>
        <v>KO</v>
      </c>
      <c r="AQ78" s="354" t="str">
        <f t="shared" si="41"/>
        <v>KO</v>
      </c>
      <c r="AR78" s="363"/>
      <c r="AS78" s="352" t="str">
        <f t="shared" si="38"/>
        <v>KO</v>
      </c>
      <c r="AT78" s="354" t="str">
        <f t="shared" si="38"/>
        <v>KO</v>
      </c>
    </row>
    <row r="79" spans="1:50" ht="9.9499999999999993" hidden="1" customHeight="1" x14ac:dyDescent="0.25">
      <c r="A79" s="214">
        <v>31</v>
      </c>
      <c r="B79" s="352" t="str">
        <f t="shared" si="36"/>
        <v>KO</v>
      </c>
      <c r="C79" s="353" t="str">
        <f t="shared" si="36"/>
        <v>KO</v>
      </c>
      <c r="D79" s="353" t="str">
        <f t="shared" si="36"/>
        <v>KO</v>
      </c>
      <c r="E79" s="353" t="str">
        <f t="shared" si="36"/>
        <v>KO</v>
      </c>
      <c r="F79" s="353" t="str">
        <f t="shared" si="36"/>
        <v>KO</v>
      </c>
      <c r="G79" s="354" t="str">
        <f t="shared" si="36"/>
        <v>KO</v>
      </c>
      <c r="H79" s="352" t="str">
        <f t="shared" si="40"/>
        <v>KO</v>
      </c>
      <c r="I79" s="353" t="str">
        <f t="shared" si="40"/>
        <v>KO</v>
      </c>
      <c r="J79" s="353" t="str">
        <f t="shared" si="40"/>
        <v>KO</v>
      </c>
      <c r="K79" s="353" t="str">
        <f t="shared" si="40"/>
        <v>KO</v>
      </c>
      <c r="L79" s="354" t="str">
        <f t="shared" si="40"/>
        <v>KO</v>
      </c>
      <c r="M79" s="352" t="str">
        <f t="shared" si="40"/>
        <v>KO</v>
      </c>
      <c r="N79" s="353" t="str">
        <f t="shared" si="40"/>
        <v>KO</v>
      </c>
      <c r="O79" s="353" t="str">
        <f t="shared" si="40"/>
        <v>KO</v>
      </c>
      <c r="P79" s="353" t="str">
        <f t="shared" si="40"/>
        <v>KO</v>
      </c>
      <c r="Q79" s="353" t="str">
        <f t="shared" si="40"/>
        <v>KO</v>
      </c>
      <c r="R79" s="353" t="str">
        <f t="shared" si="40"/>
        <v>KO</v>
      </c>
      <c r="S79" s="353" t="str">
        <f t="shared" si="40"/>
        <v>KO</v>
      </c>
      <c r="T79" s="353" t="str">
        <f t="shared" si="40"/>
        <v>KO</v>
      </c>
      <c r="U79" s="354" t="str">
        <f t="shared" si="40"/>
        <v>KO</v>
      </c>
      <c r="V79" s="352" t="str">
        <f t="shared" si="40"/>
        <v>KO</v>
      </c>
      <c r="W79" s="354" t="str">
        <f t="shared" si="40"/>
        <v>KO</v>
      </c>
      <c r="X79" s="363"/>
      <c r="Y79" s="352" t="str">
        <f t="shared" si="37"/>
        <v>KO</v>
      </c>
      <c r="Z79" s="353" t="str">
        <f t="shared" si="41"/>
        <v>KO</v>
      </c>
      <c r="AA79" s="353" t="str">
        <f t="shared" si="41"/>
        <v>KO</v>
      </c>
      <c r="AB79" s="353" t="str">
        <f t="shared" si="41"/>
        <v>KO</v>
      </c>
      <c r="AC79" s="354" t="str">
        <f t="shared" si="41"/>
        <v>KO</v>
      </c>
      <c r="AD79" s="352" t="str">
        <f t="shared" si="41"/>
        <v>KO</v>
      </c>
      <c r="AE79" s="353" t="str">
        <f t="shared" si="41"/>
        <v>KO</v>
      </c>
      <c r="AF79" s="353" t="str">
        <f t="shared" si="41"/>
        <v>KO</v>
      </c>
      <c r="AG79" s="353" t="str">
        <f t="shared" si="41"/>
        <v>KO</v>
      </c>
      <c r="AH79" s="353" t="str">
        <f t="shared" si="41"/>
        <v>KO</v>
      </c>
      <c r="AI79" s="353" t="str">
        <f t="shared" si="41"/>
        <v>KO</v>
      </c>
      <c r="AJ79" s="353" t="str">
        <f t="shared" si="41"/>
        <v>KO</v>
      </c>
      <c r="AK79" s="353" t="str">
        <f t="shared" si="41"/>
        <v>KO</v>
      </c>
      <c r="AL79" s="353" t="str">
        <f t="shared" si="41"/>
        <v>KO</v>
      </c>
      <c r="AM79" s="354" t="str">
        <f t="shared" si="41"/>
        <v>KO</v>
      </c>
      <c r="AN79" s="352" t="str">
        <f t="shared" si="41"/>
        <v>KO</v>
      </c>
      <c r="AO79" s="353" t="str">
        <f t="shared" si="41"/>
        <v>KO</v>
      </c>
      <c r="AP79" s="353" t="str">
        <f t="shared" si="41"/>
        <v>KO</v>
      </c>
      <c r="AQ79" s="354" t="str">
        <f t="shared" si="41"/>
        <v>KO</v>
      </c>
      <c r="AR79" s="363"/>
      <c r="AS79" s="352" t="str">
        <f t="shared" si="38"/>
        <v>KO</v>
      </c>
      <c r="AT79" s="354" t="str">
        <f t="shared" si="38"/>
        <v>KO</v>
      </c>
    </row>
    <row r="80" spans="1:50" ht="9.9499999999999993" hidden="1" customHeight="1" x14ac:dyDescent="0.25">
      <c r="A80" s="214">
        <v>32</v>
      </c>
      <c r="B80" s="352" t="str">
        <f t="shared" si="36"/>
        <v>KO</v>
      </c>
      <c r="C80" s="353" t="str">
        <f t="shared" si="36"/>
        <v>KO</v>
      </c>
      <c r="D80" s="353" t="str">
        <f t="shared" si="36"/>
        <v>KO</v>
      </c>
      <c r="E80" s="353" t="str">
        <f t="shared" si="36"/>
        <v>KO</v>
      </c>
      <c r="F80" s="353" t="str">
        <f t="shared" si="36"/>
        <v>KO</v>
      </c>
      <c r="G80" s="354" t="str">
        <f t="shared" si="36"/>
        <v>KO</v>
      </c>
      <c r="H80" s="352" t="str">
        <f t="shared" si="40"/>
        <v>KO</v>
      </c>
      <c r="I80" s="353" t="str">
        <f t="shared" si="40"/>
        <v>KO</v>
      </c>
      <c r="J80" s="353" t="str">
        <f t="shared" si="40"/>
        <v>KO</v>
      </c>
      <c r="K80" s="353" t="str">
        <f t="shared" si="40"/>
        <v>KO</v>
      </c>
      <c r="L80" s="354" t="str">
        <f t="shared" si="40"/>
        <v>KO</v>
      </c>
      <c r="M80" s="352" t="str">
        <f t="shared" si="40"/>
        <v>KO</v>
      </c>
      <c r="N80" s="353" t="str">
        <f t="shared" si="40"/>
        <v>KO</v>
      </c>
      <c r="O80" s="353" t="str">
        <f t="shared" si="40"/>
        <v>KO</v>
      </c>
      <c r="P80" s="353" t="str">
        <f t="shared" si="40"/>
        <v>KO</v>
      </c>
      <c r="Q80" s="353" t="str">
        <f t="shared" si="40"/>
        <v>KO</v>
      </c>
      <c r="R80" s="353" t="str">
        <f t="shared" si="40"/>
        <v>KO</v>
      </c>
      <c r="S80" s="353" t="str">
        <f t="shared" si="40"/>
        <v>KO</v>
      </c>
      <c r="T80" s="353" t="str">
        <f t="shared" si="40"/>
        <v>KO</v>
      </c>
      <c r="U80" s="354" t="str">
        <f t="shared" si="40"/>
        <v>KO</v>
      </c>
      <c r="V80" s="352" t="str">
        <f t="shared" si="40"/>
        <v>KO</v>
      </c>
      <c r="W80" s="354" t="str">
        <f t="shared" ref="H80:W88" si="42">IF($A80&gt;W$48,"KO","OK")</f>
        <v>KO</v>
      </c>
      <c r="X80" s="363"/>
      <c r="Y80" s="352" t="str">
        <f t="shared" si="37"/>
        <v>KO</v>
      </c>
      <c r="Z80" s="353" t="str">
        <f t="shared" si="41"/>
        <v>KO</v>
      </c>
      <c r="AA80" s="353" t="str">
        <f t="shared" si="41"/>
        <v>KO</v>
      </c>
      <c r="AB80" s="353" t="str">
        <f t="shared" si="41"/>
        <v>KO</v>
      </c>
      <c r="AC80" s="354" t="str">
        <f t="shared" si="41"/>
        <v>KO</v>
      </c>
      <c r="AD80" s="352" t="str">
        <f t="shared" si="41"/>
        <v>KO</v>
      </c>
      <c r="AE80" s="353" t="str">
        <f t="shared" si="41"/>
        <v>KO</v>
      </c>
      <c r="AF80" s="353" t="str">
        <f t="shared" si="41"/>
        <v>KO</v>
      </c>
      <c r="AG80" s="353" t="str">
        <f t="shared" si="41"/>
        <v>KO</v>
      </c>
      <c r="AH80" s="353" t="str">
        <f t="shared" si="41"/>
        <v>KO</v>
      </c>
      <c r="AI80" s="353" t="str">
        <f t="shared" si="41"/>
        <v>KO</v>
      </c>
      <c r="AJ80" s="353" t="str">
        <f t="shared" si="41"/>
        <v>KO</v>
      </c>
      <c r="AK80" s="353" t="str">
        <f t="shared" si="41"/>
        <v>KO</v>
      </c>
      <c r="AL80" s="353" t="str">
        <f t="shared" si="41"/>
        <v>KO</v>
      </c>
      <c r="AM80" s="354" t="str">
        <f t="shared" si="41"/>
        <v>KO</v>
      </c>
      <c r="AN80" s="352" t="str">
        <f t="shared" si="41"/>
        <v>KO</v>
      </c>
      <c r="AO80" s="353" t="str">
        <f t="shared" si="41"/>
        <v>KO</v>
      </c>
      <c r="AP80" s="353" t="str">
        <f t="shared" si="41"/>
        <v>KO</v>
      </c>
      <c r="AQ80" s="354" t="str">
        <f t="shared" si="41"/>
        <v>KO</v>
      </c>
      <c r="AR80" s="363"/>
      <c r="AS80" s="352" t="str">
        <f t="shared" si="38"/>
        <v>KO</v>
      </c>
      <c r="AT80" s="354" t="str">
        <f t="shared" si="38"/>
        <v>KO</v>
      </c>
    </row>
    <row r="81" spans="1:46" ht="9.9499999999999993" hidden="1" customHeight="1" x14ac:dyDescent="0.25">
      <c r="A81" s="214">
        <v>33</v>
      </c>
      <c r="B81" s="352" t="str">
        <f t="shared" si="36"/>
        <v>KO</v>
      </c>
      <c r="C81" s="353" t="str">
        <f t="shared" si="36"/>
        <v>KO</v>
      </c>
      <c r="D81" s="353" t="str">
        <f t="shared" si="36"/>
        <v>KO</v>
      </c>
      <c r="E81" s="353" t="str">
        <f t="shared" si="36"/>
        <v>KO</v>
      </c>
      <c r="F81" s="353" t="str">
        <f t="shared" si="36"/>
        <v>KO</v>
      </c>
      <c r="G81" s="354" t="str">
        <f t="shared" si="36"/>
        <v>KO</v>
      </c>
      <c r="H81" s="352" t="str">
        <f t="shared" si="42"/>
        <v>KO</v>
      </c>
      <c r="I81" s="353" t="str">
        <f t="shared" si="42"/>
        <v>KO</v>
      </c>
      <c r="J81" s="353" t="str">
        <f t="shared" si="42"/>
        <v>KO</v>
      </c>
      <c r="K81" s="353" t="str">
        <f t="shared" si="42"/>
        <v>KO</v>
      </c>
      <c r="L81" s="354" t="str">
        <f t="shared" si="42"/>
        <v>KO</v>
      </c>
      <c r="M81" s="352" t="str">
        <f t="shared" si="42"/>
        <v>KO</v>
      </c>
      <c r="N81" s="353" t="str">
        <f t="shared" si="42"/>
        <v>KO</v>
      </c>
      <c r="O81" s="353" t="str">
        <f t="shared" si="42"/>
        <v>KO</v>
      </c>
      <c r="P81" s="353" t="str">
        <f t="shared" si="42"/>
        <v>KO</v>
      </c>
      <c r="Q81" s="353" t="str">
        <f t="shared" si="42"/>
        <v>KO</v>
      </c>
      <c r="R81" s="353" t="str">
        <f t="shared" si="42"/>
        <v>KO</v>
      </c>
      <c r="S81" s="353" t="str">
        <f t="shared" si="42"/>
        <v>KO</v>
      </c>
      <c r="T81" s="353" t="str">
        <f t="shared" si="42"/>
        <v>KO</v>
      </c>
      <c r="U81" s="354" t="str">
        <f t="shared" si="42"/>
        <v>KO</v>
      </c>
      <c r="V81" s="352" t="str">
        <f t="shared" si="42"/>
        <v>KO</v>
      </c>
      <c r="W81" s="354" t="str">
        <f t="shared" si="42"/>
        <v>KO</v>
      </c>
      <c r="X81" s="363"/>
      <c r="Y81" s="352" t="str">
        <f t="shared" si="37"/>
        <v>KO</v>
      </c>
      <c r="Z81" s="353" t="str">
        <f t="shared" si="41"/>
        <v>KO</v>
      </c>
      <c r="AA81" s="353" t="str">
        <f t="shared" si="41"/>
        <v>KO</v>
      </c>
      <c r="AB81" s="353" t="str">
        <f t="shared" si="41"/>
        <v>KO</v>
      </c>
      <c r="AC81" s="354" t="str">
        <f t="shared" si="41"/>
        <v>KO</v>
      </c>
      <c r="AD81" s="352" t="str">
        <f t="shared" si="41"/>
        <v>KO</v>
      </c>
      <c r="AE81" s="353" t="str">
        <f t="shared" si="41"/>
        <v>KO</v>
      </c>
      <c r="AF81" s="353" t="str">
        <f t="shared" si="41"/>
        <v>KO</v>
      </c>
      <c r="AG81" s="353" t="str">
        <f t="shared" si="41"/>
        <v>KO</v>
      </c>
      <c r="AH81" s="353" t="str">
        <f t="shared" si="41"/>
        <v>KO</v>
      </c>
      <c r="AI81" s="353" t="str">
        <f t="shared" si="41"/>
        <v>KO</v>
      </c>
      <c r="AJ81" s="353" t="str">
        <f t="shared" si="41"/>
        <v>KO</v>
      </c>
      <c r="AK81" s="353" t="str">
        <f t="shared" si="41"/>
        <v>KO</v>
      </c>
      <c r="AL81" s="353" t="str">
        <f t="shared" si="41"/>
        <v>KO</v>
      </c>
      <c r="AM81" s="354" t="str">
        <f t="shared" si="41"/>
        <v>KO</v>
      </c>
      <c r="AN81" s="352" t="str">
        <f t="shared" si="41"/>
        <v>KO</v>
      </c>
      <c r="AO81" s="353" t="str">
        <f t="shared" si="41"/>
        <v>KO</v>
      </c>
      <c r="AP81" s="353" t="str">
        <f t="shared" si="41"/>
        <v>KO</v>
      </c>
      <c r="AQ81" s="354" t="str">
        <f t="shared" si="41"/>
        <v>KO</v>
      </c>
      <c r="AR81" s="363"/>
      <c r="AS81" s="352" t="str">
        <f t="shared" si="38"/>
        <v>KO</v>
      </c>
      <c r="AT81" s="354" t="str">
        <f t="shared" si="38"/>
        <v>KO</v>
      </c>
    </row>
    <row r="82" spans="1:46" ht="9.9499999999999993" hidden="1" customHeight="1" x14ac:dyDescent="0.25">
      <c r="A82" s="214">
        <v>34</v>
      </c>
      <c r="B82" s="352" t="str">
        <f t="shared" si="36"/>
        <v>KO</v>
      </c>
      <c r="C82" s="353" t="str">
        <f t="shared" si="36"/>
        <v>KO</v>
      </c>
      <c r="D82" s="353" t="str">
        <f t="shared" si="36"/>
        <v>KO</v>
      </c>
      <c r="E82" s="353" t="str">
        <f t="shared" si="36"/>
        <v>KO</v>
      </c>
      <c r="F82" s="353" t="str">
        <f t="shared" si="36"/>
        <v>KO</v>
      </c>
      <c r="G82" s="354" t="str">
        <f t="shared" si="36"/>
        <v>KO</v>
      </c>
      <c r="H82" s="352" t="str">
        <f t="shared" si="42"/>
        <v>KO</v>
      </c>
      <c r="I82" s="353" t="str">
        <f t="shared" si="42"/>
        <v>KO</v>
      </c>
      <c r="J82" s="353" t="str">
        <f t="shared" si="42"/>
        <v>KO</v>
      </c>
      <c r="K82" s="353" t="str">
        <f t="shared" si="42"/>
        <v>KO</v>
      </c>
      <c r="L82" s="354" t="str">
        <f t="shared" si="42"/>
        <v>KO</v>
      </c>
      <c r="M82" s="352" t="str">
        <f t="shared" si="42"/>
        <v>KO</v>
      </c>
      <c r="N82" s="353" t="str">
        <f t="shared" si="42"/>
        <v>KO</v>
      </c>
      <c r="O82" s="353" t="str">
        <f t="shared" si="42"/>
        <v>KO</v>
      </c>
      <c r="P82" s="353" t="str">
        <f t="shared" si="42"/>
        <v>KO</v>
      </c>
      <c r="Q82" s="353" t="str">
        <f t="shared" si="42"/>
        <v>KO</v>
      </c>
      <c r="R82" s="353" t="str">
        <f t="shared" si="42"/>
        <v>KO</v>
      </c>
      <c r="S82" s="353" t="str">
        <f t="shared" si="42"/>
        <v>KO</v>
      </c>
      <c r="T82" s="353" t="str">
        <f t="shared" si="42"/>
        <v>KO</v>
      </c>
      <c r="U82" s="354" t="str">
        <f t="shared" si="42"/>
        <v>KO</v>
      </c>
      <c r="V82" s="352" t="str">
        <f t="shared" si="42"/>
        <v>KO</v>
      </c>
      <c r="W82" s="354" t="str">
        <f t="shared" si="42"/>
        <v>KO</v>
      </c>
      <c r="X82" s="363"/>
      <c r="Y82" s="352" t="str">
        <f t="shared" si="37"/>
        <v>KO</v>
      </c>
      <c r="Z82" s="353" t="str">
        <f t="shared" si="41"/>
        <v>KO</v>
      </c>
      <c r="AA82" s="353" t="str">
        <f t="shared" si="41"/>
        <v>KO</v>
      </c>
      <c r="AB82" s="353" t="str">
        <f t="shared" si="41"/>
        <v>KO</v>
      </c>
      <c r="AC82" s="354" t="str">
        <f t="shared" si="41"/>
        <v>KO</v>
      </c>
      <c r="AD82" s="352" t="str">
        <f t="shared" si="41"/>
        <v>KO</v>
      </c>
      <c r="AE82" s="353" t="str">
        <f t="shared" si="41"/>
        <v>KO</v>
      </c>
      <c r="AF82" s="353" t="str">
        <f t="shared" si="41"/>
        <v>KO</v>
      </c>
      <c r="AG82" s="353" t="str">
        <f t="shared" si="41"/>
        <v>KO</v>
      </c>
      <c r="AH82" s="353" t="str">
        <f t="shared" si="41"/>
        <v>KO</v>
      </c>
      <c r="AI82" s="353" t="str">
        <f t="shared" si="41"/>
        <v>KO</v>
      </c>
      <c r="AJ82" s="353" t="str">
        <f t="shared" si="41"/>
        <v>KO</v>
      </c>
      <c r="AK82" s="353" t="str">
        <f t="shared" si="41"/>
        <v>KO</v>
      </c>
      <c r="AL82" s="353" t="str">
        <f t="shared" si="41"/>
        <v>KO</v>
      </c>
      <c r="AM82" s="354" t="str">
        <f t="shared" si="41"/>
        <v>KO</v>
      </c>
      <c r="AN82" s="352" t="str">
        <f t="shared" si="41"/>
        <v>KO</v>
      </c>
      <c r="AO82" s="353" t="str">
        <f t="shared" si="41"/>
        <v>KO</v>
      </c>
      <c r="AP82" s="353" t="str">
        <f t="shared" si="41"/>
        <v>KO</v>
      </c>
      <c r="AQ82" s="354" t="str">
        <f t="shared" si="41"/>
        <v>KO</v>
      </c>
      <c r="AR82" s="363"/>
      <c r="AS82" s="352" t="str">
        <f t="shared" si="38"/>
        <v>KO</v>
      </c>
      <c r="AT82" s="354" t="str">
        <f t="shared" si="38"/>
        <v>KO</v>
      </c>
    </row>
    <row r="83" spans="1:46" ht="9.9499999999999993" hidden="1" customHeight="1" x14ac:dyDescent="0.25">
      <c r="A83" s="214">
        <v>35</v>
      </c>
      <c r="B83" s="352" t="str">
        <f t="shared" si="36"/>
        <v>KO</v>
      </c>
      <c r="C83" s="353" t="str">
        <f t="shared" si="36"/>
        <v>KO</v>
      </c>
      <c r="D83" s="353" t="str">
        <f t="shared" si="36"/>
        <v>KO</v>
      </c>
      <c r="E83" s="353" t="str">
        <f t="shared" si="36"/>
        <v>KO</v>
      </c>
      <c r="F83" s="353" t="str">
        <f t="shared" si="36"/>
        <v>KO</v>
      </c>
      <c r="G83" s="354" t="str">
        <f t="shared" si="36"/>
        <v>KO</v>
      </c>
      <c r="H83" s="352" t="str">
        <f t="shared" si="42"/>
        <v>KO</v>
      </c>
      <c r="I83" s="353" t="str">
        <f t="shared" si="42"/>
        <v>KO</v>
      </c>
      <c r="J83" s="353" t="str">
        <f t="shared" si="42"/>
        <v>KO</v>
      </c>
      <c r="K83" s="353" t="str">
        <f t="shared" si="42"/>
        <v>KO</v>
      </c>
      <c r="L83" s="354" t="str">
        <f t="shared" si="42"/>
        <v>KO</v>
      </c>
      <c r="M83" s="352" t="str">
        <f t="shared" si="42"/>
        <v>KO</v>
      </c>
      <c r="N83" s="353" t="str">
        <f t="shared" si="42"/>
        <v>KO</v>
      </c>
      <c r="O83" s="353" t="str">
        <f t="shared" si="42"/>
        <v>KO</v>
      </c>
      <c r="P83" s="353" t="str">
        <f t="shared" si="42"/>
        <v>KO</v>
      </c>
      <c r="Q83" s="353" t="str">
        <f t="shared" si="42"/>
        <v>KO</v>
      </c>
      <c r="R83" s="353" t="str">
        <f t="shared" si="42"/>
        <v>KO</v>
      </c>
      <c r="S83" s="353" t="str">
        <f t="shared" si="42"/>
        <v>KO</v>
      </c>
      <c r="T83" s="353" t="str">
        <f t="shared" si="42"/>
        <v>KO</v>
      </c>
      <c r="U83" s="354" t="str">
        <f t="shared" si="42"/>
        <v>KO</v>
      </c>
      <c r="V83" s="352" t="str">
        <f t="shared" si="42"/>
        <v>KO</v>
      </c>
      <c r="W83" s="354" t="str">
        <f t="shared" si="42"/>
        <v>KO</v>
      </c>
      <c r="X83" s="363"/>
      <c r="Y83" s="352" t="str">
        <f t="shared" si="37"/>
        <v>KO</v>
      </c>
      <c r="Z83" s="353" t="str">
        <f t="shared" si="41"/>
        <v>KO</v>
      </c>
      <c r="AA83" s="353" t="str">
        <f t="shared" si="41"/>
        <v>KO</v>
      </c>
      <c r="AB83" s="353" t="str">
        <f t="shared" si="41"/>
        <v>KO</v>
      </c>
      <c r="AC83" s="354" t="str">
        <f t="shared" si="41"/>
        <v>KO</v>
      </c>
      <c r="AD83" s="352" t="str">
        <f t="shared" si="41"/>
        <v>KO</v>
      </c>
      <c r="AE83" s="353" t="str">
        <f t="shared" si="41"/>
        <v>KO</v>
      </c>
      <c r="AF83" s="353" t="str">
        <f t="shared" si="41"/>
        <v>KO</v>
      </c>
      <c r="AG83" s="353" t="str">
        <f t="shared" si="41"/>
        <v>KO</v>
      </c>
      <c r="AH83" s="353" t="str">
        <f t="shared" si="41"/>
        <v>KO</v>
      </c>
      <c r="AI83" s="353" t="str">
        <f t="shared" si="41"/>
        <v>KO</v>
      </c>
      <c r="AJ83" s="353" t="str">
        <f t="shared" si="41"/>
        <v>KO</v>
      </c>
      <c r="AK83" s="353" t="str">
        <f t="shared" si="41"/>
        <v>KO</v>
      </c>
      <c r="AL83" s="353" t="str">
        <f t="shared" si="41"/>
        <v>KO</v>
      </c>
      <c r="AM83" s="354" t="str">
        <f t="shared" si="41"/>
        <v>KO</v>
      </c>
      <c r="AN83" s="352" t="str">
        <f t="shared" si="41"/>
        <v>KO</v>
      </c>
      <c r="AO83" s="353" t="str">
        <f t="shared" si="41"/>
        <v>KO</v>
      </c>
      <c r="AP83" s="353" t="str">
        <f t="shared" si="41"/>
        <v>KO</v>
      </c>
      <c r="AQ83" s="354" t="str">
        <f t="shared" si="41"/>
        <v>KO</v>
      </c>
      <c r="AR83" s="363"/>
      <c r="AS83" s="352" t="str">
        <f t="shared" si="38"/>
        <v>KO</v>
      </c>
      <c r="AT83" s="354" t="str">
        <f t="shared" si="38"/>
        <v>KO</v>
      </c>
    </row>
    <row r="84" spans="1:46" ht="9.9499999999999993" hidden="1" customHeight="1" x14ac:dyDescent="0.25">
      <c r="A84" s="214">
        <v>36</v>
      </c>
      <c r="B84" s="352" t="str">
        <f t="shared" si="36"/>
        <v>KO</v>
      </c>
      <c r="C84" s="353" t="str">
        <f t="shared" si="36"/>
        <v>KO</v>
      </c>
      <c r="D84" s="353" t="str">
        <f t="shared" si="36"/>
        <v>KO</v>
      </c>
      <c r="E84" s="353" t="str">
        <f t="shared" si="36"/>
        <v>KO</v>
      </c>
      <c r="F84" s="353" t="str">
        <f t="shared" si="36"/>
        <v>KO</v>
      </c>
      <c r="G84" s="354" t="str">
        <f t="shared" si="36"/>
        <v>KO</v>
      </c>
      <c r="H84" s="352" t="str">
        <f t="shared" si="42"/>
        <v>KO</v>
      </c>
      <c r="I84" s="353" t="str">
        <f t="shared" si="42"/>
        <v>KO</v>
      </c>
      <c r="J84" s="353" t="str">
        <f t="shared" si="42"/>
        <v>KO</v>
      </c>
      <c r="K84" s="353" t="str">
        <f t="shared" si="42"/>
        <v>KO</v>
      </c>
      <c r="L84" s="354" t="str">
        <f t="shared" si="42"/>
        <v>KO</v>
      </c>
      <c r="M84" s="352" t="str">
        <f t="shared" si="42"/>
        <v>KO</v>
      </c>
      <c r="N84" s="353" t="str">
        <f t="shared" si="42"/>
        <v>KO</v>
      </c>
      <c r="O84" s="353" t="str">
        <f t="shared" si="42"/>
        <v>KO</v>
      </c>
      <c r="P84" s="353" t="str">
        <f t="shared" si="42"/>
        <v>KO</v>
      </c>
      <c r="Q84" s="353" t="str">
        <f t="shared" si="42"/>
        <v>KO</v>
      </c>
      <c r="R84" s="353" t="str">
        <f t="shared" si="42"/>
        <v>KO</v>
      </c>
      <c r="S84" s="353" t="str">
        <f t="shared" si="42"/>
        <v>KO</v>
      </c>
      <c r="T84" s="353" t="str">
        <f t="shared" si="42"/>
        <v>KO</v>
      </c>
      <c r="U84" s="354" t="str">
        <f t="shared" si="42"/>
        <v>KO</v>
      </c>
      <c r="V84" s="352" t="str">
        <f t="shared" si="42"/>
        <v>KO</v>
      </c>
      <c r="W84" s="354" t="str">
        <f t="shared" si="42"/>
        <v>KO</v>
      </c>
      <c r="X84" s="363"/>
      <c r="Y84" s="352" t="str">
        <f t="shared" si="37"/>
        <v>KO</v>
      </c>
      <c r="Z84" s="353" t="str">
        <f t="shared" si="41"/>
        <v>KO</v>
      </c>
      <c r="AA84" s="353" t="str">
        <f t="shared" si="41"/>
        <v>KO</v>
      </c>
      <c r="AB84" s="353" t="str">
        <f t="shared" si="41"/>
        <v>KO</v>
      </c>
      <c r="AC84" s="354" t="str">
        <f t="shared" si="41"/>
        <v>KO</v>
      </c>
      <c r="AD84" s="352" t="str">
        <f t="shared" si="41"/>
        <v>KO</v>
      </c>
      <c r="AE84" s="353" t="str">
        <f t="shared" si="41"/>
        <v>KO</v>
      </c>
      <c r="AF84" s="353" t="str">
        <f t="shared" si="41"/>
        <v>KO</v>
      </c>
      <c r="AG84" s="353" t="str">
        <f t="shared" si="41"/>
        <v>KO</v>
      </c>
      <c r="AH84" s="353" t="str">
        <f t="shared" si="41"/>
        <v>KO</v>
      </c>
      <c r="AI84" s="353" t="str">
        <f t="shared" si="41"/>
        <v>KO</v>
      </c>
      <c r="AJ84" s="353" t="str">
        <f t="shared" si="41"/>
        <v>KO</v>
      </c>
      <c r="AK84" s="353" t="str">
        <f t="shared" si="41"/>
        <v>KO</v>
      </c>
      <c r="AL84" s="353" t="str">
        <f t="shared" si="41"/>
        <v>KO</v>
      </c>
      <c r="AM84" s="354" t="str">
        <f t="shared" si="41"/>
        <v>KO</v>
      </c>
      <c r="AN84" s="352" t="str">
        <f t="shared" si="41"/>
        <v>KO</v>
      </c>
      <c r="AO84" s="353" t="str">
        <f t="shared" si="41"/>
        <v>KO</v>
      </c>
      <c r="AP84" s="353" t="str">
        <f t="shared" si="41"/>
        <v>KO</v>
      </c>
      <c r="AQ84" s="354" t="str">
        <f t="shared" si="41"/>
        <v>KO</v>
      </c>
      <c r="AR84" s="363"/>
      <c r="AS84" s="352" t="str">
        <f t="shared" si="38"/>
        <v>KO</v>
      </c>
      <c r="AT84" s="354" t="str">
        <f t="shared" si="38"/>
        <v>KO</v>
      </c>
    </row>
    <row r="85" spans="1:46" ht="9.9499999999999993" hidden="1" customHeight="1" x14ac:dyDescent="0.25">
      <c r="A85" s="214">
        <v>37</v>
      </c>
      <c r="B85" s="352" t="str">
        <f t="shared" si="36"/>
        <v>KO</v>
      </c>
      <c r="C85" s="353" t="str">
        <f t="shared" si="36"/>
        <v>KO</v>
      </c>
      <c r="D85" s="353" t="str">
        <f t="shared" si="36"/>
        <v>KO</v>
      </c>
      <c r="E85" s="353" t="str">
        <f t="shared" si="36"/>
        <v>KO</v>
      </c>
      <c r="F85" s="353" t="str">
        <f t="shared" si="36"/>
        <v>KO</v>
      </c>
      <c r="G85" s="354" t="str">
        <f t="shared" si="36"/>
        <v>KO</v>
      </c>
      <c r="H85" s="352" t="str">
        <f t="shared" si="42"/>
        <v>KO</v>
      </c>
      <c r="I85" s="353" t="str">
        <f t="shared" si="42"/>
        <v>KO</v>
      </c>
      <c r="J85" s="353" t="str">
        <f t="shared" si="42"/>
        <v>KO</v>
      </c>
      <c r="K85" s="353" t="str">
        <f t="shared" si="42"/>
        <v>KO</v>
      </c>
      <c r="L85" s="354" t="str">
        <f t="shared" si="42"/>
        <v>KO</v>
      </c>
      <c r="M85" s="352" t="str">
        <f t="shared" si="42"/>
        <v>KO</v>
      </c>
      <c r="N85" s="353" t="str">
        <f t="shared" si="42"/>
        <v>KO</v>
      </c>
      <c r="O85" s="353" t="str">
        <f t="shared" si="42"/>
        <v>KO</v>
      </c>
      <c r="P85" s="353" t="str">
        <f t="shared" si="42"/>
        <v>KO</v>
      </c>
      <c r="Q85" s="353" t="str">
        <f t="shared" si="42"/>
        <v>KO</v>
      </c>
      <c r="R85" s="353" t="str">
        <f t="shared" si="42"/>
        <v>KO</v>
      </c>
      <c r="S85" s="353" t="str">
        <f t="shared" si="42"/>
        <v>KO</v>
      </c>
      <c r="T85" s="353" t="str">
        <f t="shared" si="42"/>
        <v>KO</v>
      </c>
      <c r="U85" s="354" t="str">
        <f t="shared" si="42"/>
        <v>KO</v>
      </c>
      <c r="V85" s="352" t="str">
        <f t="shared" si="42"/>
        <v>KO</v>
      </c>
      <c r="W85" s="354" t="str">
        <f t="shared" si="42"/>
        <v>KO</v>
      </c>
      <c r="X85" s="363"/>
      <c r="Y85" s="352" t="str">
        <f t="shared" si="37"/>
        <v>KO</v>
      </c>
      <c r="Z85" s="353" t="str">
        <f t="shared" si="41"/>
        <v>KO</v>
      </c>
      <c r="AA85" s="353" t="str">
        <f t="shared" si="41"/>
        <v>KO</v>
      </c>
      <c r="AB85" s="353" t="str">
        <f t="shared" si="41"/>
        <v>KO</v>
      </c>
      <c r="AC85" s="354" t="str">
        <f t="shared" si="41"/>
        <v>KO</v>
      </c>
      <c r="AD85" s="352" t="str">
        <f t="shared" si="41"/>
        <v>KO</v>
      </c>
      <c r="AE85" s="353" t="str">
        <f t="shared" si="41"/>
        <v>KO</v>
      </c>
      <c r="AF85" s="353" t="str">
        <f t="shared" si="41"/>
        <v>KO</v>
      </c>
      <c r="AG85" s="353" t="str">
        <f t="shared" si="41"/>
        <v>KO</v>
      </c>
      <c r="AH85" s="353" t="str">
        <f t="shared" si="41"/>
        <v>KO</v>
      </c>
      <c r="AI85" s="353" t="str">
        <f t="shared" si="41"/>
        <v>KO</v>
      </c>
      <c r="AJ85" s="353" t="str">
        <f t="shared" si="41"/>
        <v>KO</v>
      </c>
      <c r="AK85" s="353" t="str">
        <f t="shared" si="41"/>
        <v>KO</v>
      </c>
      <c r="AL85" s="353" t="str">
        <f t="shared" si="41"/>
        <v>KO</v>
      </c>
      <c r="AM85" s="354" t="str">
        <f t="shared" si="41"/>
        <v>KO</v>
      </c>
      <c r="AN85" s="352" t="str">
        <f t="shared" si="41"/>
        <v>KO</v>
      </c>
      <c r="AO85" s="353" t="str">
        <f t="shared" si="41"/>
        <v>KO</v>
      </c>
      <c r="AP85" s="353" t="str">
        <f t="shared" si="41"/>
        <v>KO</v>
      </c>
      <c r="AQ85" s="354" t="str">
        <f t="shared" si="41"/>
        <v>KO</v>
      </c>
      <c r="AR85" s="363"/>
      <c r="AS85" s="352" t="str">
        <f t="shared" si="38"/>
        <v>KO</v>
      </c>
      <c r="AT85" s="354" t="str">
        <f t="shared" si="38"/>
        <v>KO</v>
      </c>
    </row>
    <row r="86" spans="1:46" ht="9.9499999999999993" hidden="1" customHeight="1" x14ac:dyDescent="0.25">
      <c r="A86" s="214">
        <v>38</v>
      </c>
      <c r="B86" s="352" t="str">
        <f t="shared" si="36"/>
        <v>KO</v>
      </c>
      <c r="C86" s="353" t="str">
        <f t="shared" si="36"/>
        <v>KO</v>
      </c>
      <c r="D86" s="353" t="str">
        <f t="shared" si="36"/>
        <v>KO</v>
      </c>
      <c r="E86" s="353" t="str">
        <f t="shared" si="36"/>
        <v>KO</v>
      </c>
      <c r="F86" s="353" t="str">
        <f t="shared" si="36"/>
        <v>KO</v>
      </c>
      <c r="G86" s="354" t="str">
        <f t="shared" si="36"/>
        <v>KO</v>
      </c>
      <c r="H86" s="352" t="str">
        <f t="shared" si="42"/>
        <v>KO</v>
      </c>
      <c r="I86" s="353" t="str">
        <f t="shared" si="42"/>
        <v>KO</v>
      </c>
      <c r="J86" s="353" t="str">
        <f t="shared" si="42"/>
        <v>KO</v>
      </c>
      <c r="K86" s="353" t="str">
        <f t="shared" si="42"/>
        <v>KO</v>
      </c>
      <c r="L86" s="354" t="str">
        <f t="shared" si="42"/>
        <v>KO</v>
      </c>
      <c r="M86" s="352" t="str">
        <f t="shared" si="42"/>
        <v>KO</v>
      </c>
      <c r="N86" s="353" t="str">
        <f t="shared" si="42"/>
        <v>KO</v>
      </c>
      <c r="O86" s="353" t="str">
        <f t="shared" si="42"/>
        <v>KO</v>
      </c>
      <c r="P86" s="353" t="str">
        <f t="shared" si="42"/>
        <v>KO</v>
      </c>
      <c r="Q86" s="353" t="str">
        <f t="shared" si="42"/>
        <v>KO</v>
      </c>
      <c r="R86" s="353" t="str">
        <f t="shared" si="42"/>
        <v>KO</v>
      </c>
      <c r="S86" s="353" t="str">
        <f t="shared" si="42"/>
        <v>KO</v>
      </c>
      <c r="T86" s="353" t="str">
        <f t="shared" si="42"/>
        <v>KO</v>
      </c>
      <c r="U86" s="354" t="str">
        <f t="shared" si="42"/>
        <v>KO</v>
      </c>
      <c r="V86" s="352" t="str">
        <f t="shared" si="42"/>
        <v>KO</v>
      </c>
      <c r="W86" s="354" t="str">
        <f t="shared" si="42"/>
        <v>KO</v>
      </c>
      <c r="X86" s="363"/>
      <c r="Y86" s="352" t="str">
        <f t="shared" si="37"/>
        <v>KO</v>
      </c>
      <c r="Z86" s="353" t="str">
        <f t="shared" si="41"/>
        <v>KO</v>
      </c>
      <c r="AA86" s="353" t="str">
        <f t="shared" si="41"/>
        <v>KO</v>
      </c>
      <c r="AB86" s="353" t="str">
        <f t="shared" si="41"/>
        <v>KO</v>
      </c>
      <c r="AC86" s="354" t="str">
        <f t="shared" si="41"/>
        <v>KO</v>
      </c>
      <c r="AD86" s="352" t="str">
        <f t="shared" si="41"/>
        <v>KO</v>
      </c>
      <c r="AE86" s="353" t="str">
        <f t="shared" si="41"/>
        <v>KO</v>
      </c>
      <c r="AF86" s="353" t="str">
        <f t="shared" si="41"/>
        <v>KO</v>
      </c>
      <c r="AG86" s="353" t="str">
        <f t="shared" si="41"/>
        <v>KO</v>
      </c>
      <c r="AH86" s="353" t="str">
        <f t="shared" si="41"/>
        <v>KO</v>
      </c>
      <c r="AI86" s="353" t="str">
        <f t="shared" si="41"/>
        <v>KO</v>
      </c>
      <c r="AJ86" s="353" t="str">
        <f t="shared" si="41"/>
        <v>KO</v>
      </c>
      <c r="AK86" s="353" t="str">
        <f t="shared" si="41"/>
        <v>KO</v>
      </c>
      <c r="AL86" s="353" t="str">
        <f t="shared" si="41"/>
        <v>KO</v>
      </c>
      <c r="AM86" s="354" t="str">
        <f t="shared" si="41"/>
        <v>KO</v>
      </c>
      <c r="AN86" s="352" t="str">
        <f t="shared" si="41"/>
        <v>KO</v>
      </c>
      <c r="AO86" s="353" t="str">
        <f t="shared" si="41"/>
        <v>KO</v>
      </c>
      <c r="AP86" s="353" t="str">
        <f t="shared" si="41"/>
        <v>KO</v>
      </c>
      <c r="AQ86" s="354" t="str">
        <f t="shared" si="41"/>
        <v>KO</v>
      </c>
      <c r="AR86" s="363"/>
      <c r="AS86" s="352" t="str">
        <f t="shared" si="38"/>
        <v>KO</v>
      </c>
      <c r="AT86" s="354" t="str">
        <f t="shared" si="38"/>
        <v>KO</v>
      </c>
    </row>
    <row r="87" spans="1:46" ht="9.9499999999999993" hidden="1" customHeight="1" x14ac:dyDescent="0.25">
      <c r="A87" s="214">
        <v>39</v>
      </c>
      <c r="B87" s="352" t="str">
        <f t="shared" si="36"/>
        <v>KO</v>
      </c>
      <c r="C87" s="353" t="str">
        <f t="shared" si="36"/>
        <v>KO</v>
      </c>
      <c r="D87" s="353" t="str">
        <f t="shared" si="36"/>
        <v>KO</v>
      </c>
      <c r="E87" s="353" t="str">
        <f t="shared" si="36"/>
        <v>KO</v>
      </c>
      <c r="F87" s="353" t="str">
        <f t="shared" si="36"/>
        <v>KO</v>
      </c>
      <c r="G87" s="354" t="str">
        <f t="shared" si="36"/>
        <v>KO</v>
      </c>
      <c r="H87" s="352" t="str">
        <f t="shared" si="42"/>
        <v>KO</v>
      </c>
      <c r="I87" s="353" t="str">
        <f t="shared" si="42"/>
        <v>KO</v>
      </c>
      <c r="J87" s="353" t="str">
        <f t="shared" si="42"/>
        <v>KO</v>
      </c>
      <c r="K87" s="353" t="str">
        <f t="shared" si="42"/>
        <v>KO</v>
      </c>
      <c r="L87" s="354" t="str">
        <f t="shared" si="42"/>
        <v>KO</v>
      </c>
      <c r="M87" s="352" t="str">
        <f t="shared" si="42"/>
        <v>KO</v>
      </c>
      <c r="N87" s="353" t="str">
        <f t="shared" si="42"/>
        <v>KO</v>
      </c>
      <c r="O87" s="353" t="str">
        <f t="shared" si="42"/>
        <v>KO</v>
      </c>
      <c r="P87" s="353" t="str">
        <f t="shared" si="42"/>
        <v>KO</v>
      </c>
      <c r="Q87" s="353" t="str">
        <f t="shared" si="42"/>
        <v>KO</v>
      </c>
      <c r="R87" s="353" t="str">
        <f t="shared" si="42"/>
        <v>KO</v>
      </c>
      <c r="S87" s="353" t="str">
        <f t="shared" si="42"/>
        <v>KO</v>
      </c>
      <c r="T87" s="353" t="str">
        <f t="shared" si="42"/>
        <v>KO</v>
      </c>
      <c r="U87" s="354" t="str">
        <f t="shared" si="42"/>
        <v>KO</v>
      </c>
      <c r="V87" s="352" t="str">
        <f t="shared" si="42"/>
        <v>KO</v>
      </c>
      <c r="W87" s="354" t="str">
        <f t="shared" si="42"/>
        <v>KO</v>
      </c>
      <c r="X87" s="363"/>
      <c r="Y87" s="352" t="str">
        <f t="shared" si="37"/>
        <v>KO</v>
      </c>
      <c r="Z87" s="353" t="str">
        <f t="shared" si="41"/>
        <v>KO</v>
      </c>
      <c r="AA87" s="353" t="str">
        <f t="shared" si="41"/>
        <v>KO</v>
      </c>
      <c r="AB87" s="353" t="str">
        <f t="shared" si="41"/>
        <v>KO</v>
      </c>
      <c r="AC87" s="354" t="str">
        <f t="shared" si="41"/>
        <v>KO</v>
      </c>
      <c r="AD87" s="352" t="str">
        <f t="shared" si="41"/>
        <v>KO</v>
      </c>
      <c r="AE87" s="353" t="str">
        <f t="shared" si="41"/>
        <v>KO</v>
      </c>
      <c r="AF87" s="353" t="str">
        <f t="shared" si="41"/>
        <v>KO</v>
      </c>
      <c r="AG87" s="353" t="str">
        <f t="shared" si="41"/>
        <v>KO</v>
      </c>
      <c r="AH87" s="353" t="str">
        <f t="shared" si="41"/>
        <v>KO</v>
      </c>
      <c r="AI87" s="353" t="str">
        <f t="shared" si="41"/>
        <v>KO</v>
      </c>
      <c r="AJ87" s="353" t="str">
        <f t="shared" si="41"/>
        <v>KO</v>
      </c>
      <c r="AK87" s="353" t="str">
        <f t="shared" si="41"/>
        <v>KO</v>
      </c>
      <c r="AL87" s="353" t="str">
        <f t="shared" si="41"/>
        <v>KO</v>
      </c>
      <c r="AM87" s="354" t="str">
        <f t="shared" si="41"/>
        <v>KO</v>
      </c>
      <c r="AN87" s="352" t="str">
        <f t="shared" si="41"/>
        <v>KO</v>
      </c>
      <c r="AO87" s="353" t="str">
        <f t="shared" si="41"/>
        <v>KO</v>
      </c>
      <c r="AP87" s="353" t="str">
        <f t="shared" si="41"/>
        <v>KO</v>
      </c>
      <c r="AQ87" s="354" t="str">
        <f t="shared" si="41"/>
        <v>KO</v>
      </c>
      <c r="AR87" s="363"/>
      <c r="AS87" s="352" t="str">
        <f t="shared" si="38"/>
        <v>KO</v>
      </c>
      <c r="AT87" s="354" t="str">
        <f t="shared" si="38"/>
        <v>KO</v>
      </c>
    </row>
    <row r="88" spans="1:46" ht="9.9499999999999993" hidden="1" customHeight="1" thickBot="1" x14ac:dyDescent="0.3">
      <c r="A88" s="282">
        <v>40</v>
      </c>
      <c r="B88" s="355" t="str">
        <f t="shared" si="36"/>
        <v>KO</v>
      </c>
      <c r="C88" s="356" t="str">
        <f t="shared" si="36"/>
        <v>KO</v>
      </c>
      <c r="D88" s="356" t="str">
        <f t="shared" si="36"/>
        <v>KO</v>
      </c>
      <c r="E88" s="356" t="str">
        <f t="shared" si="36"/>
        <v>KO</v>
      </c>
      <c r="F88" s="356" t="str">
        <f t="shared" si="36"/>
        <v>KO</v>
      </c>
      <c r="G88" s="357" t="str">
        <f t="shared" si="36"/>
        <v>KO</v>
      </c>
      <c r="H88" s="355" t="str">
        <f t="shared" si="42"/>
        <v>KO</v>
      </c>
      <c r="I88" s="356" t="str">
        <f t="shared" si="42"/>
        <v>KO</v>
      </c>
      <c r="J88" s="356" t="str">
        <f t="shared" si="42"/>
        <v>KO</v>
      </c>
      <c r="K88" s="356" t="str">
        <f t="shared" si="42"/>
        <v>KO</v>
      </c>
      <c r="L88" s="357" t="str">
        <f t="shared" si="42"/>
        <v>KO</v>
      </c>
      <c r="M88" s="355" t="str">
        <f t="shared" si="42"/>
        <v>KO</v>
      </c>
      <c r="N88" s="356" t="str">
        <f t="shared" si="42"/>
        <v>KO</v>
      </c>
      <c r="O88" s="356" t="str">
        <f t="shared" si="42"/>
        <v>KO</v>
      </c>
      <c r="P88" s="356" t="str">
        <f t="shared" si="42"/>
        <v>KO</v>
      </c>
      <c r="Q88" s="356" t="str">
        <f t="shared" si="42"/>
        <v>KO</v>
      </c>
      <c r="R88" s="356" t="str">
        <f t="shared" si="42"/>
        <v>KO</v>
      </c>
      <c r="S88" s="356" t="str">
        <f t="shared" si="42"/>
        <v>KO</v>
      </c>
      <c r="T88" s="356" t="str">
        <f t="shared" si="42"/>
        <v>KO</v>
      </c>
      <c r="U88" s="357" t="str">
        <f t="shared" si="42"/>
        <v>KO</v>
      </c>
      <c r="V88" s="355" t="str">
        <f t="shared" si="42"/>
        <v>KO</v>
      </c>
      <c r="W88" s="357" t="str">
        <f t="shared" si="42"/>
        <v>KO</v>
      </c>
      <c r="X88" s="364"/>
      <c r="Y88" s="355" t="str">
        <f t="shared" si="37"/>
        <v>KO</v>
      </c>
      <c r="Z88" s="356" t="str">
        <f t="shared" si="41"/>
        <v>KO</v>
      </c>
      <c r="AA88" s="356" t="str">
        <f t="shared" si="41"/>
        <v>KO</v>
      </c>
      <c r="AB88" s="356" t="str">
        <f t="shared" si="41"/>
        <v>KO</v>
      </c>
      <c r="AC88" s="357" t="str">
        <f t="shared" si="41"/>
        <v>KO</v>
      </c>
      <c r="AD88" s="355" t="str">
        <f t="shared" si="41"/>
        <v>KO</v>
      </c>
      <c r="AE88" s="356" t="str">
        <f t="shared" si="41"/>
        <v>KO</v>
      </c>
      <c r="AF88" s="356" t="str">
        <f t="shared" si="41"/>
        <v>KO</v>
      </c>
      <c r="AG88" s="356" t="str">
        <f t="shared" si="41"/>
        <v>KO</v>
      </c>
      <c r="AH88" s="356" t="str">
        <f t="shared" si="41"/>
        <v>KO</v>
      </c>
      <c r="AI88" s="356" t="str">
        <f t="shared" si="41"/>
        <v>KO</v>
      </c>
      <c r="AJ88" s="356" t="str">
        <f t="shared" si="41"/>
        <v>KO</v>
      </c>
      <c r="AK88" s="356" t="str">
        <f t="shared" si="41"/>
        <v>KO</v>
      </c>
      <c r="AL88" s="356" t="str">
        <f t="shared" si="41"/>
        <v>KO</v>
      </c>
      <c r="AM88" s="357" t="str">
        <f t="shared" si="41"/>
        <v>KO</v>
      </c>
      <c r="AN88" s="355" t="str">
        <f t="shared" si="41"/>
        <v>KO</v>
      </c>
      <c r="AO88" s="356" t="str">
        <f t="shared" si="41"/>
        <v>KO</v>
      </c>
      <c r="AP88" s="356" t="str">
        <f t="shared" si="41"/>
        <v>KO</v>
      </c>
      <c r="AQ88" s="357" t="str">
        <f t="shared" si="41"/>
        <v>KO</v>
      </c>
      <c r="AR88" s="364"/>
      <c r="AS88" s="355" t="str">
        <f t="shared" si="38"/>
        <v>KO</v>
      </c>
      <c r="AT88" s="357" t="str">
        <f t="shared" si="38"/>
        <v>KO</v>
      </c>
    </row>
    <row r="89" spans="1:46" ht="9.9499999999999993" hidden="1" customHeight="1" thickBot="1" x14ac:dyDescent="0.3">
      <c r="A89" s="283" t="s">
        <v>43</v>
      </c>
      <c r="B89" s="358" t="str">
        <f>IF(B$45&gt;VLOOKUP($AV$2,AVAILABLE_Buildings_Resource[#All],MATCH(B$2,AVAILABLE_Buildings_Resource[#Headers],0)),"KO","OK")</f>
        <v>OK</v>
      </c>
      <c r="C89" s="359" t="str">
        <f>IF(C$45&gt;VLOOKUP($AV$2,AVAILABLE_Buildings_Resource[#All],MATCH(C$2,AVAILABLE_Buildings_Resource[#Headers],0)),"KO","OK")</f>
        <v>OK</v>
      </c>
      <c r="D89" s="359" t="str">
        <f>IF(D$45&gt;VLOOKUP($AV$2,AVAILABLE_Buildings_Resource[#All],MATCH(D$2,AVAILABLE_Buildings_Resource[#Headers],0)),"KO","OK")</f>
        <v>OK</v>
      </c>
      <c r="E89" s="359" t="str">
        <f>IF(E$45&gt;VLOOKUP($AV$2,AVAILABLE_Buildings_Resource[#All],MATCH(E$2,AVAILABLE_Buildings_Resource[#Headers],0)),"KO","OK")</f>
        <v>OK</v>
      </c>
      <c r="F89" s="359" t="str">
        <f>IF(F$45&gt;VLOOKUP($AV$2,AVAILABLE_Buildings_Resource[#All],MATCH(F$2,AVAILABLE_Buildings_Resource[#Headers],0)),"KO","OK")</f>
        <v>OK</v>
      </c>
      <c r="G89" s="360" t="str">
        <f>IF(G$45&gt;VLOOKUP($AV$2,AVAILABLE_Buildings_Resource[#All],MATCH(G$2,AVAILABLE_Buildings_Resource[#Headers],0)),"KO","OK")</f>
        <v>OK</v>
      </c>
      <c r="H89" s="358" t="str">
        <f>IF(H$45&gt;VLOOKUP($AV$2,AVAILABLE_Buildings_Army[#All],MATCH(H$2,AVAILABLE_Buildings_Army[#Headers],0)),"KO","OK")</f>
        <v>OK</v>
      </c>
      <c r="I89" s="359" t="str">
        <f>IF(I$45&gt;VLOOKUP($AV$2,AVAILABLE_Buildings_Army[#All],MATCH(I$2,AVAILABLE_Buildings_Army[#Headers],0)),"KO","OK")</f>
        <v>OK</v>
      </c>
      <c r="J89" s="359" t="str">
        <f>IF(J$45&gt;VLOOKUP($AV$2,AVAILABLE_Buildings_Army[#All],MATCH(J$2,AVAILABLE_Buildings_Army[#Headers],0)),"KO","OK")</f>
        <v>OK</v>
      </c>
      <c r="K89" s="359" t="str">
        <f>IF(K$45&gt;VLOOKUP($AV$2,AVAILABLE_Buildings_Army[#All],MATCH(K$2,AVAILABLE_Buildings_Army[#Headers],0)),"KO","OK")</f>
        <v>OK</v>
      </c>
      <c r="L89" s="360" t="str">
        <f>IF(L$45&gt;VLOOKUP($AV$2,AVAILABLE_Buildings_Army[#All],MATCH(L$2,AVAILABLE_Buildings_Army[#Headers],0)),"KO","OK")</f>
        <v>OK</v>
      </c>
      <c r="M89" s="358" t="str">
        <f>IF(M$45&gt;VLOOKUP($AV$2,AVAILABLE_Buildings_Defensive[#All],MATCH(M$2,AVAILABLE_Buildings_Defensive[#Headers],0)),"KO","OK")</f>
        <v>OK</v>
      </c>
      <c r="N89" s="359" t="str">
        <f>IF(N$45&gt;VLOOKUP($AV$2,AVAILABLE_Buildings_Defensive[#All],MATCH(N$2,AVAILABLE_Buildings_Defensive[#Headers],0)),"KO","OK")</f>
        <v>OK</v>
      </c>
      <c r="O89" s="359" t="str">
        <f>IF(O$45&gt;VLOOKUP($AV$2,AVAILABLE_Buildings_Defensive[#All],MATCH(O$2,AVAILABLE_Buildings_Defensive[#Headers],0)),"KO","OK")</f>
        <v>OK</v>
      </c>
      <c r="P89" s="359" t="str">
        <f>IF(P$45&gt;VLOOKUP($AV$2,AVAILABLE_Buildings_Defensive[#All],MATCH(P$2,AVAILABLE_Buildings_Defensive[#Headers],0)),"KO","OK")</f>
        <v>OK</v>
      </c>
      <c r="Q89" s="359" t="str">
        <f>IF(Q$45&gt;VLOOKUP($AV$2,AVAILABLE_Buildings_Defensive[#All],MATCH(Q$2,AVAILABLE_Buildings_Defensive[#Headers],0)),"KO","OK")</f>
        <v>OK</v>
      </c>
      <c r="R89" s="359" t="str">
        <f>IF(R$45&gt;VLOOKUP($AV$2,AVAILABLE_Buildings_Defensive[#All],MATCH(R$2,AVAILABLE_Buildings_Defensive[#Headers],0)),"KO","OK")</f>
        <v>OK</v>
      </c>
      <c r="S89" s="359" t="str">
        <f>IF(S$45&gt;VLOOKUP($AV$2,AVAILABLE_Buildings_Defensive[#All],MATCH(S$2,AVAILABLE_Buildings_Defensive[#Headers],0)),"KO","OK")</f>
        <v>OK</v>
      </c>
      <c r="T89" s="359" t="str">
        <f>IF(T$45&gt;VLOOKUP($AV$2,AVAILABLE_Buildings_Defensive[#All],MATCH(T$2,AVAILABLE_Buildings_Defensive[#Headers],0)),"KO","OK")</f>
        <v>OK</v>
      </c>
      <c r="U89" s="360" t="str">
        <f>IF(U$45&gt;VLOOKUP($AV$2,AVAILABLE_Buildings_Defensive[#All],MATCH(U$2,AVAILABLE_Buildings_Defensive[#Headers],0)),"KO","OK")</f>
        <v>OK</v>
      </c>
      <c r="V89" s="358" t="str">
        <f>IF(V$45&gt;VLOOKUP($AV$2,AVAILABLE_Buildings_Other[#All],MATCH(V$2,AVAILABLE_Buildings_Other[#Headers],0)),"KO","OK")</f>
        <v>OK</v>
      </c>
      <c r="W89" s="360" t="str">
        <f>IF(W$45&gt;VLOOKUP($AV$2,AVAILABLE_Buildings_Other[#All],MATCH(W$2,AVAILABLE_Buildings_Other[#Headers],0)),"KO","OK")</f>
        <v>OK</v>
      </c>
      <c r="X89" s="361"/>
      <c r="Y89" s="358" t="str">
        <f>IF(Y$45&gt;VLOOKUP($AV$2,AVAILABLE_Upgrades_Spells[#All],MATCH(Y$2,AVAILABLE_Upgrades_Spells[#Headers],0)),"KO","OK")</f>
        <v>OK</v>
      </c>
      <c r="Z89" s="359" t="str">
        <f>IF(Z$45&gt;VLOOKUP($AV$2,AVAILABLE_Upgrades_Spells[#All],MATCH(Z$2,AVAILABLE_Upgrades_Spells[#Headers],0)),"KO","OK")</f>
        <v>OK</v>
      </c>
      <c r="AA89" s="359" t="str">
        <f>IF(AA$45&gt;VLOOKUP($AV$2,AVAILABLE_Upgrades_Spells[#All],MATCH(AA$2,AVAILABLE_Upgrades_Spells[#Headers],0)),"KO","OK")</f>
        <v>OK</v>
      </c>
      <c r="AB89" s="359" t="str">
        <f>IF(AB$45&gt;VLOOKUP($AV$2,AVAILABLE_Upgrades_Spells[#All],MATCH(AB$2,AVAILABLE_Upgrades_Spells[#Headers],0)),"KO","OK")</f>
        <v>OK</v>
      </c>
      <c r="AC89" s="360" t="str">
        <f>IF(AC$45&gt;VLOOKUP($AV$2,AVAILABLE_Upgrades_Spells[#All],MATCH(AC$2,AVAILABLE_Upgrades_Spells[#Headers],0)),"KO","OK")</f>
        <v>OK</v>
      </c>
      <c r="AD89" s="358" t="str">
        <f>IF(AD$45&gt;VLOOKUP($AV$2,AVAILABLE_Upgrades_Normal_Troops[#All],MATCH(AD$2,AVAILABLE_Upgrades_Normal_Troops[#Headers],0)),"KO","OK")</f>
        <v>OK</v>
      </c>
      <c r="AE89" s="359" t="str">
        <f>IF(AE$45&gt;VLOOKUP($AV$2,AVAILABLE_Upgrades_Normal_Troops[#All],MATCH(AE$2,AVAILABLE_Upgrades_Normal_Troops[#Headers],0)),"KO","OK")</f>
        <v>OK</v>
      </c>
      <c r="AF89" s="359" t="str">
        <f>IF(AF$45&gt;VLOOKUP($AV$2,AVAILABLE_Upgrades_Normal_Troops[#All],MATCH(AF$2,AVAILABLE_Upgrades_Normal_Troops[#Headers],0)),"KO","OK")</f>
        <v>OK</v>
      </c>
      <c r="AG89" s="359" t="str">
        <f>IF(AG$45&gt;VLOOKUP($AV$2,AVAILABLE_Upgrades_Normal_Troops[#All],MATCH(AG$2,AVAILABLE_Upgrades_Normal_Troops[#Headers],0)),"KO","OK")</f>
        <v>OK</v>
      </c>
      <c r="AH89" s="359" t="str">
        <f>IF(AH$45&gt;VLOOKUP($AV$2,AVAILABLE_Upgrades_Normal_Troops[#All],MATCH(AH$2,AVAILABLE_Upgrades_Normal_Troops[#Headers],0)),"KO","OK")</f>
        <v>OK</v>
      </c>
      <c r="AI89" s="359" t="str">
        <f>IF(AI$45&gt;VLOOKUP($AV$2,AVAILABLE_Upgrades_Normal_Troops[#All],MATCH(AI$2,AVAILABLE_Upgrades_Normal_Troops[#Headers],0)),"KO","OK")</f>
        <v>OK</v>
      </c>
      <c r="AJ89" s="359" t="str">
        <f>IF(AJ$45&gt;VLOOKUP($AV$2,AVAILABLE_Upgrades_Normal_Troops[#All],MATCH(AJ$2,AVAILABLE_Upgrades_Normal_Troops[#Headers],0)),"KO","OK")</f>
        <v>OK</v>
      </c>
      <c r="AK89" s="359" t="str">
        <f>IF(AK$45&gt;VLOOKUP($AV$2,AVAILABLE_Upgrades_Normal_Troops[#All],MATCH(AK$2,AVAILABLE_Upgrades_Normal_Troops[#Headers],0)),"KO","OK")</f>
        <v>OK</v>
      </c>
      <c r="AL89" s="359" t="str">
        <f>IF(AL$45&gt;VLOOKUP($AV$2,AVAILABLE_Upgrades_Normal_Troops[#All],MATCH(AL$2,AVAILABLE_Upgrades_Normal_Troops[#Headers],0)),"KO","OK")</f>
        <v>OK</v>
      </c>
      <c r="AM89" s="360" t="str">
        <f>IF(AM$45&gt;VLOOKUP($AV$2,AVAILABLE_Upgrades_Normal_Troops[#All],MATCH(AM$2,AVAILABLE_Upgrades_Normal_Troops[#Headers],0)),"KO","OK")</f>
        <v>OK</v>
      </c>
      <c r="AN89" s="358" t="str">
        <f>IF(AN$45&gt;VLOOKUP($AV$2,AVAILABLE_Upgrades_Dark_Troops[#All],MATCH(AN$2,AVAILABLE_Upgrades_Dark_Troops[#Headers],0)),"KO","OK")</f>
        <v>OK</v>
      </c>
      <c r="AO89" s="359" t="str">
        <f>IF(AO$45&gt;VLOOKUP($AV$2,AVAILABLE_Upgrades_Dark_Troops[#All],MATCH(AO$2,AVAILABLE_Upgrades_Dark_Troops[#Headers],0)),"KO","OK")</f>
        <v>OK</v>
      </c>
      <c r="AP89" s="359" t="str">
        <f>IF(AP$45&gt;VLOOKUP($AV$2,AVAILABLE_Upgrades_Dark_Troops[#All],MATCH(AP$2,AVAILABLE_Upgrades_Dark_Troops[#Headers],0)),"KO","OK")</f>
        <v>OK</v>
      </c>
      <c r="AQ89" s="360" t="str">
        <f>IF(AQ$45&gt;VLOOKUP($AV$2,AVAILABLE_Upgrades_Dark_Troops[#All],MATCH(AQ$2,AVAILABLE_Upgrades_Dark_Troops[#Headers],0)),"KO","OK")</f>
        <v>OK</v>
      </c>
      <c r="AR89" s="361"/>
      <c r="AS89" s="358" t="str">
        <f>IF(AS$45&gt;VLOOKUP($AV$2,AVAILABLE_Heroes[#All],MATCH(AS$2,AVAILABLE_Heroes[#Headers],0)),"KO","OK")</f>
        <v>OK</v>
      </c>
      <c r="AT89" s="360" t="str">
        <f>IF(AT$45&gt;VLOOKUP($AV$2,AVAILABLE_Heroes[#All],MATCH(AT$2,AVAILABLE_Heroes[#Headers],0)),"KO","OK")</f>
        <v>OK</v>
      </c>
    </row>
  </sheetData>
  <sheetProtection formatCells="0" formatColumns="0" formatRows="0" sort="0" autoFilter="0"/>
  <mergeCells count="15">
    <mergeCell ref="AD1:AM1"/>
    <mergeCell ref="B47:AT47"/>
    <mergeCell ref="AN1:AQ1"/>
    <mergeCell ref="AS1:AT1"/>
    <mergeCell ref="A1:A2"/>
    <mergeCell ref="B1:G1"/>
    <mergeCell ref="H1:L1"/>
    <mergeCell ref="M1:U1"/>
    <mergeCell ref="V1:W1"/>
    <mergeCell ref="Y1:AC1"/>
    <mergeCell ref="AV13:AW30"/>
    <mergeCell ref="AV9:AV11"/>
    <mergeCell ref="AW9:AW11"/>
    <mergeCell ref="AV5:AV7"/>
    <mergeCell ref="AW5:AW7"/>
  </mergeCells>
  <conditionalFormatting sqref="B5:AT44">
    <cfRule type="expression" dxfId="10" priority="23">
      <formula>B49="KO"</formula>
    </cfRule>
  </conditionalFormatting>
  <conditionalFormatting sqref="B5:AT45">
    <cfRule type="expression" dxfId="9" priority="3">
      <formula>B$89="KO"</formula>
    </cfRule>
  </conditionalFormatting>
  <dataValidations count="5">
    <dataValidation type="list" allowBlank="1" showInputMessage="1" showErrorMessage="1" sqref="AV2">
      <formula1>"1,2,3,4,5,6,7,8,9,10"</formula1>
    </dataValidation>
    <dataValidation type="list" allowBlank="1" showInputMessage="1" showErrorMessage="1" sqref="AW2">
      <formula1>"1,2,3,4,5"</formula1>
    </dataValidation>
    <dataValidation type="whole" allowBlank="1" showInputMessage="1" showErrorMessage="1" sqref="M5:M44">
      <formula1>1</formula1>
      <formula2>250</formula2>
    </dataValidation>
    <dataValidation type="whole" allowBlank="1" showInputMessage="1" showErrorMessage="1" sqref="Y5:AQ44 AS5:AT44">
      <formula1>1</formula1>
      <formula2>1</formula2>
    </dataValidation>
    <dataValidation type="whole" allowBlank="1" showInputMessage="1" showErrorMessage="1" sqref="B5:L44 N5:W44">
      <formula1>1</formula1>
      <formula2>10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>
    <tabColor theme="0" tint="-0.499984740745262"/>
  </sheetPr>
  <dimension ref="A1:I17"/>
  <sheetViews>
    <sheetView showGridLines="0" tabSelected="1" workbookViewId="0">
      <selection activeCell="C17" sqref="C17"/>
    </sheetView>
  </sheetViews>
  <sheetFormatPr baseColWidth="10" defaultRowHeight="11.25" x14ac:dyDescent="0.25"/>
  <cols>
    <col min="1" max="1" width="11.42578125" style="316"/>
    <col min="2" max="2" width="30" style="316" bestFit="1" customWidth="1"/>
    <col min="3" max="3" width="62.85546875" style="316" customWidth="1"/>
    <col min="4" max="4" width="21.42578125" style="316" customWidth="1"/>
    <col min="5" max="6" width="11.42578125" style="316"/>
    <col min="7" max="7" width="30" style="316" customWidth="1"/>
    <col min="8" max="8" width="62.85546875" style="316" customWidth="1"/>
    <col min="9" max="9" width="21.42578125" style="316" customWidth="1"/>
    <col min="10" max="16384" width="11.42578125" style="316"/>
  </cols>
  <sheetData>
    <row r="1" spans="1:9" ht="19.5" thickBot="1" x14ac:dyDescent="0.3">
      <c r="A1" s="593" t="s">
        <v>48</v>
      </c>
      <c r="B1" s="594"/>
      <c r="C1" s="594"/>
      <c r="D1" s="595"/>
      <c r="F1" s="596" t="s">
        <v>171</v>
      </c>
      <c r="G1" s="597"/>
      <c r="H1" s="597"/>
      <c r="I1" s="598"/>
    </row>
    <row r="2" spans="1:9" ht="13.5" thickBot="1" x14ac:dyDescent="0.3">
      <c r="A2" s="373" t="s">
        <v>28</v>
      </c>
      <c r="B2" s="374" t="s">
        <v>94</v>
      </c>
      <c r="C2" s="374" t="s">
        <v>29</v>
      </c>
      <c r="D2" s="375" t="s">
        <v>93</v>
      </c>
      <c r="F2" s="403" t="s">
        <v>28</v>
      </c>
      <c r="G2" s="404" t="s">
        <v>94</v>
      </c>
      <c r="H2" s="404" t="s">
        <v>29</v>
      </c>
      <c r="I2" s="405" t="s">
        <v>93</v>
      </c>
    </row>
    <row r="3" spans="1:9" ht="42" customHeight="1" thickBot="1" x14ac:dyDescent="0.3">
      <c r="A3" s="376" t="s">
        <v>54</v>
      </c>
      <c r="B3" s="377" t="str">
        <f t="shared" ref="B3" si="0">"COC - Cost &amp; Time Calcultator " &amp; A3 &amp; ".xlsx"</f>
        <v>COC - Cost &amp; Time Calcultator v2.0.xlsx</v>
      </c>
      <c r="C3" s="378" t="s">
        <v>174</v>
      </c>
      <c r="D3" s="401" t="s">
        <v>55</v>
      </c>
      <c r="F3" s="406" t="s">
        <v>173</v>
      </c>
      <c r="G3" s="407" t="str">
        <f>"COC - Cost &amp; Time Calcultator " &amp; F3 &amp; ".xlsx"</f>
        <v>COC - Cost &amp; Time Calcultator v2.0-fr.xlsx</v>
      </c>
      <c r="H3" s="409" t="s">
        <v>172</v>
      </c>
      <c r="I3" s="408" t="s">
        <v>55</v>
      </c>
    </row>
    <row r="4" spans="1:9" ht="90" x14ac:dyDescent="0.25">
      <c r="A4" s="379" t="s">
        <v>52</v>
      </c>
      <c r="B4" s="319" t="str">
        <f t="shared" ref="B4" si="1">"COC - Cost &amp; Time Calcultator " &amp; A4 &amp; ".xlsx"</f>
        <v>COC - Cost &amp; Time Calcultator v1.9.xlsx</v>
      </c>
      <c r="C4" s="318" t="s">
        <v>180</v>
      </c>
      <c r="D4" s="380" t="s">
        <v>53</v>
      </c>
    </row>
    <row r="5" spans="1:9" ht="45" x14ac:dyDescent="0.25">
      <c r="A5" s="379" t="s">
        <v>50</v>
      </c>
      <c r="B5" s="319" t="str">
        <f t="shared" ref="B5:B12" si="2">"COC - Cost &amp; Time Calcultator " &amp; A5 &amp; ".xlsx"</f>
        <v>COC - Cost &amp; Time Calcultator v1.8.xlsx</v>
      </c>
      <c r="C5" s="318" t="s">
        <v>179</v>
      </c>
      <c r="D5" s="380" t="s">
        <v>51</v>
      </c>
    </row>
    <row r="6" spans="1:9" ht="56.25" x14ac:dyDescent="0.25">
      <c r="A6" s="379" t="s">
        <v>44</v>
      </c>
      <c r="B6" s="319" t="str">
        <f t="shared" ref="B6" si="3">"COC - Cost &amp; Time Calcultator " &amp; A6 &amp; ".xlsx"</f>
        <v>COC - Cost &amp; Time Calcultator v1.7.xlsx</v>
      </c>
      <c r="C6" s="318" t="s">
        <v>177</v>
      </c>
      <c r="D6" s="381" t="s">
        <v>49</v>
      </c>
    </row>
    <row r="7" spans="1:9" x14ac:dyDescent="0.25">
      <c r="A7" s="379" t="s">
        <v>35</v>
      </c>
      <c r="B7" s="319" t="str">
        <f t="shared" ref="B7" si="4">"COC - Cost &amp; Time Calcultator " &amp; A7 &amp; ".xlsx"</f>
        <v>COC - Cost &amp; Time Calcultator v1.6.xlsx</v>
      </c>
      <c r="C7" s="318" t="s">
        <v>169</v>
      </c>
      <c r="D7" s="381" t="s">
        <v>47</v>
      </c>
    </row>
    <row r="8" spans="1:9" x14ac:dyDescent="0.25">
      <c r="A8" s="379" t="s">
        <v>34</v>
      </c>
      <c r="B8" s="319" t="str">
        <f t="shared" si="2"/>
        <v>COC - Cost &amp; Time Calcultator v1.5.xlsx</v>
      </c>
      <c r="C8" s="317" t="s">
        <v>170</v>
      </c>
      <c r="D8" s="381" t="s">
        <v>41</v>
      </c>
    </row>
    <row r="9" spans="1:9" ht="33.75" x14ac:dyDescent="0.25">
      <c r="A9" s="379" t="s">
        <v>33</v>
      </c>
      <c r="B9" s="319" t="str">
        <f t="shared" si="2"/>
        <v>COC - Cost &amp; Time Calcultator v1.4.xlsx</v>
      </c>
      <c r="C9" s="318" t="s">
        <v>178</v>
      </c>
      <c r="D9" s="381" t="s">
        <v>40</v>
      </c>
    </row>
    <row r="10" spans="1:9" ht="33.75" x14ac:dyDescent="0.25">
      <c r="A10" s="379" t="s">
        <v>32</v>
      </c>
      <c r="B10" s="319" t="str">
        <f t="shared" si="2"/>
        <v>COC - Cost &amp; Time Calcultator v1.3.xlsx</v>
      </c>
      <c r="C10" s="318" t="s">
        <v>176</v>
      </c>
      <c r="D10" s="381" t="s">
        <v>39</v>
      </c>
    </row>
    <row r="11" spans="1:9" ht="33.75" x14ac:dyDescent="0.25">
      <c r="A11" s="379" t="s">
        <v>31</v>
      </c>
      <c r="B11" s="319" t="str">
        <f t="shared" si="2"/>
        <v>COC - Cost &amp; Time Calcultator v1.2.xlsx</v>
      </c>
      <c r="C11" s="318" t="s">
        <v>175</v>
      </c>
      <c r="D11" s="381" t="s">
        <v>38</v>
      </c>
    </row>
    <row r="12" spans="1:9" x14ac:dyDescent="0.25">
      <c r="A12" s="379" t="s">
        <v>30</v>
      </c>
      <c r="B12" s="319" t="str">
        <f t="shared" si="2"/>
        <v>COC - Cost &amp; Time Calcultator v1.1.xlsx</v>
      </c>
      <c r="C12" s="318" t="s">
        <v>168</v>
      </c>
      <c r="D12" s="381" t="s">
        <v>37</v>
      </c>
    </row>
    <row r="13" spans="1:9" ht="12" thickBot="1" x14ac:dyDescent="0.3">
      <c r="A13" s="382" t="s">
        <v>27</v>
      </c>
      <c r="B13" s="383" t="str">
        <f t="shared" ref="B13" si="5">"COC - Cost &amp; Time Calcultator " &amp; A13 &amp; ".xlsx"</f>
        <v>COC - Cost &amp; Time Calcultator v1.0.xlsx</v>
      </c>
      <c r="C13" s="384" t="s">
        <v>95</v>
      </c>
      <c r="D13" s="385" t="s">
        <v>36</v>
      </c>
    </row>
    <row r="16" spans="1:9" x14ac:dyDescent="0.25">
      <c r="C16" s="402"/>
    </row>
    <row r="17" spans="3:3" x14ac:dyDescent="0.25">
      <c r="C17" s="402"/>
    </row>
  </sheetData>
  <sheetProtection formatCells="0" formatColumns="0" formatRows="0" sort="0" autoFilter="0"/>
  <autoFilter ref="F2:I3"/>
  <mergeCells count="2">
    <mergeCell ref="A1:D1"/>
    <mergeCell ref="F1:I1"/>
  </mergeCells>
  <hyperlinks>
    <hyperlink ref="D13" r:id="rId1"/>
    <hyperlink ref="D12" r:id="rId2"/>
    <hyperlink ref="D11" r:id="rId3"/>
    <hyperlink ref="D10" r:id="rId4"/>
    <hyperlink ref="D8" r:id="rId5"/>
    <hyperlink ref="D9" r:id="rId6"/>
    <hyperlink ref="D7" r:id="rId7"/>
    <hyperlink ref="D6" r:id="rId8"/>
    <hyperlink ref="D5" r:id="rId9"/>
    <hyperlink ref="D4" r:id="rId10"/>
  </hyperlinks>
  <pageMargins left="0.7" right="0.7" top="0.75" bottom="0.75" header="0.3" footer="0.3"/>
  <pageSetup paperSize="9" orientation="portrait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À FAIRE - Détails</vt:lpstr>
      <vt:lpstr>À FAIRE - Sommaire</vt:lpstr>
      <vt:lpstr>Bâtiments</vt:lpstr>
      <vt:lpstr>Amélirations Sorts &amp; Troupes </vt:lpstr>
      <vt:lpstr>Héros</vt:lpstr>
      <vt:lpstr>Coûts</vt:lpstr>
      <vt:lpstr>Paramètres</vt:lpstr>
      <vt:lpstr>ChangeLog</vt:lpstr>
      <vt:lpstr>Niveau_HDV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Fernandes</dc:creator>
  <cp:lastModifiedBy>Kaan Uygun</cp:lastModifiedBy>
  <dcterms:created xsi:type="dcterms:W3CDTF">2012-02-21T09:02:25Z</dcterms:created>
  <dcterms:modified xsi:type="dcterms:W3CDTF">2013-07-02T12:46:04Z</dcterms:modified>
</cp:coreProperties>
</file>