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 activeTab="1"/>
  </bookViews>
  <sheets>
    <sheet name="labo" sheetId="13" r:id="rId1"/>
    <sheet name="extra" sheetId="7" r:id="rId2"/>
    <sheet name="NRJ" sheetId="11" r:id="rId3"/>
    <sheet name="terra" sheetId="4" r:id="rId4"/>
    <sheet name="ind" sheetId="12" r:id="rId5"/>
    <sheet name="rendement" sheetId="14" r:id="rId6"/>
  </sheets>
  <calcPr calcId="125725"/>
</workbook>
</file>

<file path=xl/calcChain.xml><?xml version="1.0" encoding="utf-8"?>
<calcChain xmlns="http://schemas.openxmlformats.org/spreadsheetml/2006/main">
  <c r="G18" i="7"/>
  <c r="G18" i="11"/>
  <c r="J12"/>
  <c r="J11"/>
  <c r="J10"/>
  <c r="J9"/>
  <c r="K8" i="12"/>
  <c r="K9"/>
  <c r="K10"/>
  <c r="K11"/>
  <c r="K12"/>
  <c r="K13"/>
  <c r="K14"/>
  <c r="K15"/>
  <c r="K16"/>
  <c r="K17"/>
  <c r="K18"/>
  <c r="K19"/>
  <c r="K7"/>
  <c r="G16" i="14"/>
  <c r="J16" s="1"/>
  <c r="G18"/>
  <c r="G20"/>
  <c r="G22"/>
  <c r="G23"/>
  <c r="G21" s="1"/>
  <c r="G19" s="1"/>
  <c r="G24"/>
  <c r="G24" i="4"/>
  <c r="G24" i="12"/>
  <c r="G22"/>
  <c r="G20"/>
  <c r="G18"/>
  <c r="G16"/>
  <c r="G22" i="4"/>
  <c r="G20"/>
  <c r="G18"/>
  <c r="G16"/>
  <c r="G16" i="13"/>
  <c r="G16" i="11"/>
  <c r="E28" i="7"/>
  <c r="G15" i="11"/>
  <c r="G14"/>
  <c r="G10"/>
  <c r="G18" i="13"/>
  <c r="G20" i="11"/>
  <c r="G20" i="13"/>
  <c r="G22" i="11"/>
  <c r="G22" i="13"/>
  <c r="G24" i="11"/>
  <c r="G24" i="13"/>
  <c r="J19" s="1"/>
  <c r="G24" i="7"/>
  <c r="G23" i="12"/>
  <c r="G21" s="1"/>
  <c r="G23" i="4"/>
  <c r="G21" s="1"/>
  <c r="G19" s="1"/>
  <c r="G17" s="1"/>
  <c r="G15" s="1"/>
  <c r="G13" s="1"/>
  <c r="G11" s="1"/>
  <c r="G9" s="1"/>
  <c r="G7" s="1"/>
  <c r="G21" i="7"/>
  <c r="G19" s="1"/>
  <c r="G23"/>
  <c r="G22" s="1"/>
  <c r="G23" i="13"/>
  <c r="G21" s="1"/>
  <c r="G19" s="1"/>
  <c r="G17" s="1"/>
  <c r="G15" s="1"/>
  <c r="G13" s="1"/>
  <c r="G11" s="1"/>
  <c r="G9" s="1"/>
  <c r="G7" s="1"/>
  <c r="G23" i="11"/>
  <c r="G21" s="1"/>
  <c r="G19" s="1"/>
  <c r="G17" s="1"/>
  <c r="G13" s="1"/>
  <c r="G11" s="1"/>
  <c r="G9" s="1"/>
  <c r="G7" s="1"/>
  <c r="J8" s="1"/>
  <c r="J18" i="12"/>
  <c r="J18" i="4"/>
  <c r="J17"/>
  <c r="J17" i="12"/>
  <c r="J19" i="7"/>
  <c r="J21" i="11"/>
  <c r="K8" l="1"/>
  <c r="J7"/>
  <c r="J15" i="14"/>
  <c r="K7" i="11"/>
  <c r="K21"/>
  <c r="K19"/>
  <c r="K17"/>
  <c r="K15"/>
  <c r="K13"/>
  <c r="K11"/>
  <c r="K9"/>
  <c r="K22"/>
  <c r="K20"/>
  <c r="K18"/>
  <c r="K16"/>
  <c r="K14"/>
  <c r="K12"/>
  <c r="K10"/>
  <c r="G17" i="14"/>
  <c r="G10" i="4"/>
  <c r="J9" s="1"/>
  <c r="G14"/>
  <c r="G12"/>
  <c r="G12" i="11"/>
  <c r="G10" i="13"/>
  <c r="G14"/>
  <c r="G12"/>
  <c r="G20" i="7"/>
  <c r="J16" s="1"/>
  <c r="G17"/>
  <c r="G19" i="12"/>
  <c r="J16"/>
  <c r="J19"/>
  <c r="J15" i="4"/>
  <c r="J13"/>
  <c r="J11"/>
  <c r="J16"/>
  <c r="J7"/>
  <c r="J12"/>
  <c r="J19"/>
  <c r="J20" i="13"/>
  <c r="J17" i="7"/>
  <c r="J18"/>
  <c r="J22" i="11"/>
  <c r="G15" i="14" l="1"/>
  <c r="J8" i="4"/>
  <c r="K8" s="1"/>
  <c r="G15" i="7"/>
  <c r="G14" s="1"/>
  <c r="G16"/>
  <c r="G17" i="12"/>
  <c r="J14" i="4"/>
  <c r="J10"/>
  <c r="J18" i="13"/>
  <c r="J17"/>
  <c r="J17" i="11"/>
  <c r="J18"/>
  <c r="J19"/>
  <c r="J20"/>
  <c r="K11" i="4" l="1"/>
  <c r="K16"/>
  <c r="K17"/>
  <c r="K18"/>
  <c r="K10"/>
  <c r="K9"/>
  <c r="K15"/>
  <c r="K7"/>
  <c r="K12"/>
  <c r="K13"/>
  <c r="K14"/>
  <c r="K19"/>
  <c r="G13" i="14"/>
  <c r="G14"/>
  <c r="G13" i="7"/>
  <c r="G12" s="1"/>
  <c r="J11" s="1"/>
  <c r="J15"/>
  <c r="J15" i="12"/>
  <c r="J16" i="13"/>
  <c r="G15" i="12"/>
  <c r="G14" s="1"/>
  <c r="J16" i="11"/>
  <c r="J15" i="13"/>
  <c r="J14" i="14" l="1"/>
  <c r="J13"/>
  <c r="G11"/>
  <c r="G12"/>
  <c r="G11" i="7"/>
  <c r="G10" s="1"/>
  <c r="J12"/>
  <c r="J13"/>
  <c r="G13" i="12"/>
  <c r="G12" s="1"/>
  <c r="J14"/>
  <c r="J13"/>
  <c r="J15" i="11"/>
  <c r="J14"/>
  <c r="J14" i="13"/>
  <c r="J13"/>
  <c r="J12" i="14" l="1"/>
  <c r="J9"/>
  <c r="J11"/>
  <c r="G9"/>
  <c r="G10"/>
  <c r="J10" s="1"/>
  <c r="G9" i="7"/>
  <c r="G7" s="1"/>
  <c r="J13" i="11"/>
  <c r="J12" i="12"/>
  <c r="J10" i="7"/>
  <c r="J14"/>
  <c r="G11" i="12"/>
  <c r="G10" s="1"/>
  <c r="J11" i="13"/>
  <c r="J12"/>
  <c r="J8" i="7" l="1"/>
  <c r="K8" s="1"/>
  <c r="G7" i="14"/>
  <c r="J9" i="7"/>
  <c r="J7"/>
  <c r="G9" i="12"/>
  <c r="G7" s="1"/>
  <c r="J11"/>
  <c r="J10"/>
  <c r="J10" i="13"/>
  <c r="J8" i="14" l="1"/>
  <c r="J7"/>
  <c r="K10" s="1"/>
  <c r="K17" i="7"/>
  <c r="K13"/>
  <c r="K9"/>
  <c r="K18"/>
  <c r="K14"/>
  <c r="K10"/>
  <c r="K19"/>
  <c r="K15"/>
  <c r="K11"/>
  <c r="K7"/>
  <c r="K16"/>
  <c r="K12"/>
  <c r="J9" i="12"/>
  <c r="J9" i="13"/>
  <c r="K9" s="1"/>
  <c r="J8" i="12"/>
  <c r="J7"/>
  <c r="J8" i="13"/>
  <c r="J7"/>
  <c r="K8" i="14" l="1"/>
  <c r="K7"/>
  <c r="K13"/>
  <c r="K9"/>
  <c r="K16"/>
  <c r="K12"/>
  <c r="K15"/>
  <c r="K11"/>
  <c r="K14"/>
  <c r="K10" i="13"/>
  <c r="K19"/>
  <c r="K7"/>
  <c r="K20"/>
  <c r="K17"/>
  <c r="K18"/>
  <c r="K16"/>
  <c r="K15"/>
  <c r="K13"/>
  <c r="K14"/>
  <c r="K12"/>
  <c r="K11"/>
  <c r="K8"/>
</calcChain>
</file>

<file path=xl/sharedStrings.xml><?xml version="1.0" encoding="utf-8"?>
<sst xmlns="http://schemas.openxmlformats.org/spreadsheetml/2006/main" count="380" uniqueCount="161">
  <si>
    <t>Hepta cola</t>
  </si>
  <si>
    <t>droïde multifonction</t>
  </si>
  <si>
    <t>Bloc de retraitement (20/min)</t>
  </si>
  <si>
    <t>Synthétiseur de protéines (48/min)</t>
  </si>
  <si>
    <t>Ferme hydroponique (100/min)</t>
  </si>
  <si>
    <t>K-Bot (210/min)</t>
  </si>
  <si>
    <t>Ferme aquaponique  (430/min)</t>
  </si>
  <si>
    <t>Boost nécéssaire</t>
  </si>
  <si>
    <t>Matière première</t>
  </si>
  <si>
    <t>eau pure</t>
  </si>
  <si>
    <t>glace</t>
  </si>
  <si>
    <t>nox</t>
  </si>
  <si>
    <t>cristal</t>
  </si>
  <si>
    <t>pyroxite</t>
  </si>
  <si>
    <t>heptanium</t>
  </si>
  <si>
    <t>adamanthe</t>
  </si>
  <si>
    <t>andium</t>
  </si>
  <si>
    <t>isogène</t>
  </si>
  <si>
    <t>iridium</t>
  </si>
  <si>
    <t>microfiltre</t>
  </si>
  <si>
    <t>combustible HOX</t>
  </si>
  <si>
    <t>bloc de retraitement</t>
  </si>
  <si>
    <t>synthétiseur de protéines</t>
  </si>
  <si>
    <t>servo-transmetteur</t>
  </si>
  <si>
    <t>k-bot</t>
  </si>
  <si>
    <t>aramide</t>
  </si>
  <si>
    <t>plastacier</t>
  </si>
  <si>
    <t>protofer</t>
  </si>
  <si>
    <t>Nom</t>
  </si>
  <si>
    <t>Boost</t>
  </si>
  <si>
    <t xml:space="preserve"> </t>
  </si>
  <si>
    <t>Niv</t>
  </si>
  <si>
    <t>Niv = Niveau de la technologie</t>
  </si>
  <si>
    <t>ferme hydroponique</t>
  </si>
  <si>
    <t>Analyseur de spectre (10/min)</t>
  </si>
  <si>
    <t>Découpeuse à faisseaux (24/min)</t>
  </si>
  <si>
    <t>Stabilisateur antigrav (52/min)</t>
  </si>
  <si>
    <t>nano-transistor</t>
  </si>
  <si>
    <t>découpeuse à faisseaux</t>
  </si>
  <si>
    <t>cellule anti-rad</t>
  </si>
  <si>
    <t>stabilisateur antigrav</t>
  </si>
  <si>
    <t>Découpeuse à plasma (210/min)</t>
  </si>
  <si>
    <t>plasmoïde</t>
  </si>
  <si>
    <t>Analyseur de spectre</t>
  </si>
  <si>
    <t>LES BOOST LABORATOIRES</t>
  </si>
  <si>
    <t>Hepta cola (15/min)</t>
  </si>
  <si>
    <t>Droïde multifonction (36/min)</t>
  </si>
  <si>
    <t>Support Holo</t>
  </si>
  <si>
    <t>Simulateur subatomique (78/min)</t>
  </si>
  <si>
    <t>xenodium</t>
  </si>
  <si>
    <t>Psychiks (160/min)</t>
  </si>
  <si>
    <t>simulateur subatomique</t>
  </si>
  <si>
    <t>psychiks</t>
  </si>
  <si>
    <t>Ordinateur quantique (630/min)</t>
  </si>
  <si>
    <t>implant cerebral</t>
  </si>
  <si>
    <t>condensat</t>
  </si>
  <si>
    <t>exodyne</t>
  </si>
  <si>
    <t>dunite</t>
  </si>
  <si>
    <t>ordinateur quantique</t>
  </si>
  <si>
    <t>Symbiote (1200/min)</t>
  </si>
  <si>
    <t>Biopolymère</t>
  </si>
  <si>
    <t>biomatériaux</t>
  </si>
  <si>
    <t>symbiote</t>
  </si>
  <si>
    <t>Sphère de connaissance (2300/min)</t>
  </si>
  <si>
    <t>ADN polymorphe</t>
  </si>
  <si>
    <t>méline</t>
  </si>
  <si>
    <t>sphère de connaissance</t>
  </si>
  <si>
    <t>Réseau de connaissance (4400/min)</t>
  </si>
  <si>
    <t>gravitons</t>
  </si>
  <si>
    <t>thorium alpha</t>
  </si>
  <si>
    <t>antimatière</t>
  </si>
  <si>
    <t>analyseur géodésique</t>
  </si>
  <si>
    <t>Analyseur géodésique (110/min)</t>
  </si>
  <si>
    <t>Excavatrice spatiale (420/min)</t>
  </si>
  <si>
    <t>découpeuse à plasma</t>
  </si>
  <si>
    <t>tritanium</t>
  </si>
  <si>
    <t>Découpeuse endothermique (810/min)</t>
  </si>
  <si>
    <t>Protorésine</t>
  </si>
  <si>
    <t>arkenite</t>
  </si>
  <si>
    <t>Excavatrice à distorsions (1600/min)</t>
  </si>
  <si>
    <t>découpeuse endothermique</t>
  </si>
  <si>
    <t>nanites</t>
  </si>
  <si>
    <t>Tunnelier spatial (2900/min)</t>
  </si>
  <si>
    <t>Quantité</t>
  </si>
  <si>
    <t>recycleur planétaire</t>
  </si>
  <si>
    <t>cristal énergetique</t>
  </si>
  <si>
    <t>ferme aquaponique</t>
  </si>
  <si>
    <t>Arcologie (1600/min)</t>
  </si>
  <si>
    <t>Recycleur planétaire (840/min)</t>
  </si>
  <si>
    <t>arcologie</t>
  </si>
  <si>
    <t>composés fibreux</t>
  </si>
  <si>
    <t>dôme Eden</t>
  </si>
  <si>
    <t>thorium pur ??</t>
  </si>
  <si>
    <t>thorium zeta</t>
  </si>
  <si>
    <t>Fertilisant (20/min)</t>
  </si>
  <si>
    <t>fertilisant</t>
  </si>
  <si>
    <t>Banque de génome (48/min)</t>
  </si>
  <si>
    <t>banque de génome</t>
  </si>
  <si>
    <t>support holo</t>
  </si>
  <si>
    <t>Unité d'écomodification (100/min)</t>
  </si>
  <si>
    <t>unité d'écomodification</t>
  </si>
  <si>
    <t>iridium enrichi</t>
  </si>
  <si>
    <t>Générateur d'ozone (210/min)</t>
  </si>
  <si>
    <t>générateur d'ozone</t>
  </si>
  <si>
    <t>stabilisateur thermique</t>
  </si>
  <si>
    <t>Régulateur climatique  (430/min)</t>
  </si>
  <si>
    <t>régulateur climatique</t>
  </si>
  <si>
    <t>ferrogène</t>
  </si>
  <si>
    <t>puit de biomasse</t>
  </si>
  <si>
    <t>Puit de biomasse (840/min)</t>
  </si>
  <si>
    <t>Générateur de biosphère (1600/min)</t>
  </si>
  <si>
    <t>générateur de biosphère</t>
  </si>
  <si>
    <t>enzyme de synthèse</t>
  </si>
  <si>
    <t>constructeur organique</t>
  </si>
  <si>
    <t>Constructeur organique (3100/min)</t>
  </si>
  <si>
    <t>Replicateur (5900/min)</t>
  </si>
  <si>
    <t>Contrôleur Gaïa (5900/min)</t>
  </si>
  <si>
    <t>Dôme Eden (3100/min)</t>
  </si>
  <si>
    <t>Neutronium</t>
  </si>
  <si>
    <t>Micro-réacteurs (10/min)</t>
  </si>
  <si>
    <t>supraconducteur</t>
  </si>
  <si>
    <t>micro-réacteurs</t>
  </si>
  <si>
    <t>réactif Nova</t>
  </si>
  <si>
    <t>Génératrice à impulsion (24/min)</t>
  </si>
  <si>
    <t>génératrice à impulsion</t>
  </si>
  <si>
    <t>Réacteur à matrice (52/min)</t>
  </si>
  <si>
    <t>réacteur à matrice</t>
  </si>
  <si>
    <t>Pile à fusion (110/min)</t>
  </si>
  <si>
    <t>pile à fusion</t>
  </si>
  <si>
    <t>Réacteur gravifique (210/min)</t>
  </si>
  <si>
    <t>réacteur gravifique</t>
  </si>
  <si>
    <t>Grille énergétique (420/min)</t>
  </si>
  <si>
    <t>grille énergétique</t>
  </si>
  <si>
    <t>cristal énergétique</t>
  </si>
  <si>
    <t>Cellule Tesla (810/min)</t>
  </si>
  <si>
    <t>Cœur stellaire (1600/min)</t>
  </si>
  <si>
    <t>cœur stellaire</t>
  </si>
  <si>
    <t>cellule Tesla</t>
  </si>
  <si>
    <t>Trou noir artificiel (2900/min)</t>
  </si>
  <si>
    <t>neutronium</t>
  </si>
  <si>
    <t>J'en veux :</t>
  </si>
  <si>
    <t>excavatrice spatiale</t>
  </si>
  <si>
    <t>excavatrice à distorsions</t>
  </si>
  <si>
    <t>LES BOOST EXTRACTEURS ENERGETIQUES</t>
  </si>
  <si>
    <t>LES BOOST EXTRACTEURS EXTRACTION</t>
  </si>
  <si>
    <t>LES BOOST COLONIES INDUSTRIALISATION</t>
  </si>
  <si>
    <t>En vert vos variables, une seule case orange doit être différente de 0 (J'en veux : …).</t>
  </si>
  <si>
    <t>LES BOOST COLONIES TERRAFORMATION</t>
  </si>
  <si>
    <t>je subis un petit beug, j'ai un statioport qui ne bouge pas, sans message d'erreur quand je lui demande d'aller en Kvicala (secteur protégé de la confrerie en 100k).</t>
  </si>
  <si>
    <t>Ratio</t>
  </si>
  <si>
    <t>Bloc de refroidissement (15/min)</t>
  </si>
  <si>
    <t>Amplificateur catalytique (36/min)</t>
  </si>
  <si>
    <t>Protocomburant (78/min)</t>
  </si>
  <si>
    <t>bloc de refroidissement</t>
  </si>
  <si>
    <t>amplificateur catalytique</t>
  </si>
  <si>
    <t>cuve anti-rad (160/min)</t>
  </si>
  <si>
    <t>cuve anti-rad</t>
  </si>
  <si>
    <t>protocomburant</t>
  </si>
  <si>
    <t>Colisioneur à plasma (320/min)</t>
  </si>
  <si>
    <t>reactif nova</t>
  </si>
  <si>
    <t>Implant cerebral (320/min)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</si>
</sst>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E6F1"/>
        <bgColor indexed="64"/>
      </patternFill>
    </fill>
    <fill>
      <patternFill patternType="solid">
        <fgColor rgb="FFF8A764"/>
        <bgColor indexed="64"/>
      </patternFill>
    </fill>
    <fill>
      <patternFill patternType="gray125">
        <bgColor theme="0" tint="-0.34998626667073579"/>
      </patternFill>
    </fill>
    <fill>
      <patternFill patternType="gray125">
        <bgColor rgb="FF92D050"/>
      </patternFill>
    </fill>
    <fill>
      <patternFill patternType="gray125">
        <bgColor rgb="FFF8A764"/>
      </patternFill>
    </fill>
    <fill>
      <patternFill patternType="gray125">
        <bgColor theme="0" tint="-0.14999847407452621"/>
      </patternFill>
    </fill>
    <fill>
      <patternFill patternType="gray125">
        <bgColor rgb="FFE5E6F1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4" borderId="7" xfId="0" applyFill="1" applyBorder="1" applyAlignment="1">
      <alignment horizontal="right"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9" xfId="0" applyFill="1" applyBorder="1" applyAlignment="1">
      <alignment horizontal="right" vertical="top"/>
    </xf>
    <xf numFmtId="0" fontId="0" fillId="2" borderId="10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9" xfId="0" applyFill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vertical="top"/>
    </xf>
    <xf numFmtId="3" fontId="0" fillId="0" borderId="0" xfId="0" applyNumberFormat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left" vertical="top"/>
    </xf>
    <xf numFmtId="0" fontId="0" fillId="4" borderId="14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6" borderId="15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3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right" vertical="top"/>
    </xf>
    <xf numFmtId="1" fontId="0" fillId="0" borderId="0" xfId="0" applyNumberFormat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1" fontId="0" fillId="0" borderId="9" xfId="0" applyNumberForma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4" xfId="0" applyFill="1" applyBorder="1" applyAlignment="1">
      <alignment vertical="top"/>
    </xf>
    <xf numFmtId="3" fontId="0" fillId="0" borderId="4" xfId="0" applyNumberFormat="1" applyFill="1" applyBorder="1" applyAlignment="1">
      <alignment horizontal="center" vertical="top"/>
    </xf>
    <xf numFmtId="3" fontId="0" fillId="0" borderId="9" xfId="0" applyNumberFormat="1" applyFill="1" applyBorder="1" applyAlignment="1">
      <alignment horizontal="center" vertical="top"/>
    </xf>
    <xf numFmtId="3" fontId="0" fillId="0" borderId="4" xfId="0" applyNumberFormat="1" applyFill="1" applyBorder="1" applyAlignment="1">
      <alignment vertical="top"/>
    </xf>
    <xf numFmtId="0" fontId="0" fillId="6" borderId="10" xfId="0" applyFill="1" applyBorder="1" applyAlignment="1">
      <alignment horizontal="center" vertical="top"/>
    </xf>
    <xf numFmtId="0" fontId="0" fillId="6" borderId="8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0" fontId="0" fillId="5" borderId="1" xfId="0" applyFill="1" applyBorder="1" applyAlignment="1">
      <alignment vertical="top"/>
    </xf>
    <xf numFmtId="3" fontId="0" fillId="5" borderId="1" xfId="0" applyNumberFormat="1" applyFill="1" applyBorder="1" applyAlignment="1">
      <alignment horizontal="center" vertical="top"/>
    </xf>
    <xf numFmtId="0" fontId="0" fillId="5" borderId="2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0" fontId="0" fillId="5" borderId="2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3" fontId="0" fillId="2" borderId="2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3" fontId="0" fillId="0" borderId="0" xfId="0" applyNumberFormat="1" applyFill="1" applyBorder="1" applyAlignment="1">
      <alignment horizontal="center" vertical="top"/>
    </xf>
    <xf numFmtId="3" fontId="0" fillId="0" borderId="0" xfId="0" applyNumberFormat="1" applyBorder="1" applyAlignment="1">
      <alignment horizontal="center" vertical="top"/>
    </xf>
    <xf numFmtId="3" fontId="0" fillId="0" borderId="14" xfId="0" applyNumberFormat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4" borderId="5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center" vertical="top"/>
    </xf>
    <xf numFmtId="1" fontId="0" fillId="0" borderId="14" xfId="0" applyNumberFormat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0" fillId="2" borderId="1" xfId="0" applyFill="1" applyBorder="1" applyAlignment="1"/>
    <xf numFmtId="1" fontId="0" fillId="0" borderId="0" xfId="0" applyNumberFormat="1" applyAlignment="1">
      <alignment vertical="top"/>
    </xf>
    <xf numFmtId="164" fontId="0" fillId="5" borderId="1" xfId="0" applyNumberFormat="1" applyFill="1" applyBorder="1" applyAlignment="1">
      <alignment horizontal="center" vertical="top"/>
    </xf>
    <xf numFmtId="0" fontId="0" fillId="7" borderId="5" xfId="0" applyFill="1" applyBorder="1" applyAlignment="1">
      <alignment vertical="top"/>
    </xf>
    <xf numFmtId="0" fontId="0" fillId="7" borderId="14" xfId="0" applyFill="1" applyBorder="1" applyAlignment="1">
      <alignment vertical="top"/>
    </xf>
    <xf numFmtId="0" fontId="0" fillId="7" borderId="2" xfId="0" applyFill="1" applyBorder="1" applyAlignment="1">
      <alignment vertical="top"/>
    </xf>
    <xf numFmtId="3" fontId="0" fillId="7" borderId="2" xfId="0" applyNumberFormat="1" applyFill="1" applyBorder="1" applyAlignment="1">
      <alignment horizontal="center" vertical="top"/>
    </xf>
    <xf numFmtId="0" fontId="0" fillId="7" borderId="9" xfId="0" applyFill="1" applyBorder="1" applyAlignment="1">
      <alignment horizontal="right" vertical="top"/>
    </xf>
    <xf numFmtId="0" fontId="0" fillId="9" borderId="10" xfId="0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/>
    </xf>
    <xf numFmtId="0" fontId="0" fillId="10" borderId="5" xfId="0" applyFill="1" applyBorder="1" applyAlignment="1">
      <alignment vertical="top"/>
    </xf>
    <xf numFmtId="0" fontId="0" fillId="10" borderId="14" xfId="0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0" fillId="10" borderId="2" xfId="0" applyFill="1" applyBorder="1" applyAlignment="1">
      <alignment vertical="top"/>
    </xf>
    <xf numFmtId="3" fontId="0" fillId="11" borderId="2" xfId="0" applyNumberFormat="1" applyFont="1" applyFill="1" applyBorder="1" applyAlignment="1">
      <alignment horizontal="center" vertical="top"/>
    </xf>
    <xf numFmtId="0" fontId="0" fillId="10" borderId="9" xfId="0" applyFill="1" applyBorder="1" applyAlignment="1">
      <alignment horizontal="right" vertical="top"/>
    </xf>
    <xf numFmtId="3" fontId="0" fillId="11" borderId="2" xfId="0" applyNumberFormat="1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7" borderId="6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10" borderId="0" xfId="0" applyFill="1" applyBorder="1" applyAlignment="1">
      <alignment vertical="top"/>
    </xf>
    <xf numFmtId="0" fontId="0" fillId="10" borderId="7" xfId="0" applyFill="1" applyBorder="1" applyAlignment="1">
      <alignment horizontal="right" vertical="top"/>
    </xf>
    <xf numFmtId="0" fontId="0" fillId="9" borderId="8" xfId="0" applyFill="1" applyBorder="1" applyAlignment="1">
      <alignment horizontal="center" vertical="top"/>
    </xf>
    <xf numFmtId="3" fontId="0" fillId="11" borderId="1" xfId="0" applyNumberFormat="1" applyFill="1" applyBorder="1" applyAlignment="1">
      <alignment horizontal="center" vertical="top"/>
    </xf>
    <xf numFmtId="0" fontId="0" fillId="9" borderId="15" xfId="0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0" fontId="0" fillId="4" borderId="5" xfId="0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0" fillId="0" borderId="0" xfId="0" applyNumberFormat="1" applyAlignment="1">
      <alignment vertical="top"/>
    </xf>
    <xf numFmtId="3" fontId="0" fillId="0" borderId="14" xfId="0" applyNumberFormat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1" borderId="3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3" fontId="0" fillId="0" borderId="3" xfId="0" applyNumberFormat="1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12" borderId="3" xfId="0" applyFill="1" applyBorder="1" applyAlignment="1">
      <alignment vertical="top"/>
    </xf>
    <xf numFmtId="0" fontId="0" fillId="0" borderId="6" xfId="0" applyBorder="1" applyAlignment="1">
      <alignment vertical="top"/>
    </xf>
    <xf numFmtId="0" fontId="0" fillId="8" borderId="3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4" borderId="6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0DD7F"/>
      <color rgb="FF83C937"/>
      <color rgb="FFE5E6F1"/>
      <color rgb="FFF8A764"/>
      <color rgb="FFFDEDDF"/>
      <color rgb="FFFEF6F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F34"/>
  <sheetViews>
    <sheetView workbookViewId="0">
      <selection activeCell="C9" sqref="C9"/>
    </sheetView>
  </sheetViews>
  <sheetFormatPr baseColWidth="10" defaultRowHeight="15"/>
  <cols>
    <col min="1" max="1" width="1.5703125" style="1" customWidth="1"/>
    <col min="2" max="2" width="27.7109375" style="1" customWidth="1"/>
    <col min="3" max="3" width="4.5703125" style="1" customWidth="1"/>
    <col min="4" max="4" width="4" style="2" bestFit="1" customWidth="1"/>
    <col min="5" max="5" width="23.5703125" style="1" customWidth="1"/>
    <col min="6" max="6" width="4" style="2" customWidth="1"/>
    <col min="7" max="7" width="25.5703125" style="24" customWidth="1"/>
    <col min="8" max="8" width="1" style="24" customWidth="1"/>
    <col min="9" max="9" width="13.85546875" style="1" customWidth="1"/>
    <col min="10" max="10" width="25.5703125" style="2" customWidth="1"/>
    <col min="11" max="11" width="8" style="1" customWidth="1"/>
    <col min="12" max="31" width="11.42578125" style="1"/>
    <col min="33" max="16384" width="11.42578125" style="1"/>
  </cols>
  <sheetData>
    <row r="1" spans="2:11">
      <c r="B1" s="1" t="s">
        <v>30</v>
      </c>
      <c r="E1" s="10"/>
      <c r="G1" s="27" t="s">
        <v>44</v>
      </c>
      <c r="H1" s="27"/>
    </row>
    <row r="2" spans="2:11">
      <c r="E2" s="3"/>
    </row>
    <row r="3" spans="2:11">
      <c r="B3" s="23" t="s">
        <v>146</v>
      </c>
      <c r="C3" s="4"/>
      <c r="I3" s="5" t="s">
        <v>32</v>
      </c>
    </row>
    <row r="5" spans="2:11">
      <c r="B5" s="140" t="s">
        <v>29</v>
      </c>
      <c r="C5" s="140"/>
      <c r="D5" s="140"/>
      <c r="E5" s="135" t="s">
        <v>7</v>
      </c>
      <c r="F5" s="141"/>
      <c r="G5" s="137"/>
      <c r="H5" s="41"/>
      <c r="I5" s="135" t="s">
        <v>8</v>
      </c>
      <c r="J5" s="136"/>
      <c r="K5" s="137"/>
    </row>
    <row r="6" spans="2:11">
      <c r="B6" s="142" t="s">
        <v>28</v>
      </c>
      <c r="C6" s="137"/>
      <c r="D6" s="6" t="s">
        <v>31</v>
      </c>
      <c r="E6" s="22" t="s">
        <v>28</v>
      </c>
      <c r="F6" s="6" t="s">
        <v>31</v>
      </c>
      <c r="G6" s="25" t="s">
        <v>83</v>
      </c>
      <c r="H6" s="42"/>
      <c r="I6" s="70" t="s">
        <v>28</v>
      </c>
      <c r="J6" s="6" t="s">
        <v>83</v>
      </c>
      <c r="K6" s="6" t="s">
        <v>149</v>
      </c>
    </row>
    <row r="7" spans="2:11">
      <c r="B7" s="143" t="s">
        <v>45</v>
      </c>
      <c r="C7" s="144"/>
      <c r="D7" s="138">
        <v>1</v>
      </c>
      <c r="E7" s="145" t="s">
        <v>9</v>
      </c>
      <c r="F7" s="133">
        <v>1</v>
      </c>
      <c r="G7" s="147">
        <f>IF((C10+C12+C14+C16+C18+C20+C22+C24)&gt;0,G9*7300/(1+(D7-1)/3),C8*7300/(1+(D7-1)/3))</f>
        <v>0</v>
      </c>
      <c r="H7" s="42"/>
      <c r="I7" s="64" t="s">
        <v>10</v>
      </c>
      <c r="J7" s="65">
        <f>2*G7/F7</f>
        <v>0</v>
      </c>
      <c r="K7" s="92">
        <f>IF(G$7=0,0,(J7/SUM(J$7:J$20)*100)/(J$7/SUM(J$7:J$20)*100))</f>
        <v>0</v>
      </c>
    </row>
    <row r="8" spans="2:11">
      <c r="B8" s="11" t="s">
        <v>140</v>
      </c>
      <c r="C8" s="31">
        <v>0</v>
      </c>
      <c r="D8" s="139"/>
      <c r="E8" s="146"/>
      <c r="F8" s="134"/>
      <c r="G8" s="148"/>
      <c r="H8" s="42"/>
      <c r="I8" s="49" t="s">
        <v>11</v>
      </c>
      <c r="J8" s="50">
        <f>2*G10/F10</f>
        <v>0</v>
      </c>
      <c r="K8" s="92">
        <f t="shared" ref="K8:K20" si="0">IF(G$7=0,0,(J8/SUM(J$7:J$20)*100)/(J$7/SUM(J$7:J$20)*100))</f>
        <v>0</v>
      </c>
    </row>
    <row r="9" spans="2:11">
      <c r="B9" s="12" t="s">
        <v>46</v>
      </c>
      <c r="C9" s="29"/>
      <c r="D9" s="138">
        <v>1</v>
      </c>
      <c r="E9" s="20" t="s">
        <v>0</v>
      </c>
      <c r="F9" s="19"/>
      <c r="G9" s="30">
        <f>G11*4+C10*4</f>
        <v>0</v>
      </c>
      <c r="H9" s="42"/>
      <c r="I9" s="49" t="s">
        <v>49</v>
      </c>
      <c r="J9" s="50">
        <f>2*G12/F12+2*G10/F10</f>
        <v>0</v>
      </c>
      <c r="K9" s="92">
        <f t="shared" si="0"/>
        <v>0</v>
      </c>
    </row>
    <row r="10" spans="2:11">
      <c r="B10" s="14" t="s">
        <v>140</v>
      </c>
      <c r="C10" s="45">
        <v>0</v>
      </c>
      <c r="D10" s="139"/>
      <c r="E10" s="68" t="s">
        <v>47</v>
      </c>
      <c r="F10" s="69">
        <v>1</v>
      </c>
      <c r="G10" s="67">
        <f>IF((C12+C14+C16+C18+C20+C22+C24)&gt;0,G11*29000/(1+(D9-1)/3),C10*29000/(1+(D9-1)/3))</f>
        <v>0</v>
      </c>
      <c r="H10" s="42"/>
      <c r="I10" s="49" t="s">
        <v>15</v>
      </c>
      <c r="J10" s="50">
        <f>2*G12/F12</f>
        <v>0</v>
      </c>
      <c r="K10" s="92">
        <f t="shared" si="0"/>
        <v>0</v>
      </c>
    </row>
    <row r="11" spans="2:11">
      <c r="B11" s="21" t="s">
        <v>48</v>
      </c>
      <c r="C11" s="28"/>
      <c r="D11" s="133">
        <v>1</v>
      </c>
      <c r="E11" s="71" t="s">
        <v>1</v>
      </c>
      <c r="F11" s="72"/>
      <c r="G11" s="65">
        <f>G13*4+C12*4</f>
        <v>0</v>
      </c>
      <c r="H11" s="42"/>
      <c r="I11" s="49" t="s">
        <v>18</v>
      </c>
      <c r="J11" s="50">
        <f>2*G14/F14</f>
        <v>0</v>
      </c>
      <c r="K11" s="92">
        <f t="shared" si="0"/>
        <v>0</v>
      </c>
    </row>
    <row r="12" spans="2:11">
      <c r="B12" s="17" t="s">
        <v>140</v>
      </c>
      <c r="C12" s="45">
        <v>0</v>
      </c>
      <c r="D12" s="134"/>
      <c r="E12" s="71" t="s">
        <v>37</v>
      </c>
      <c r="F12" s="69">
        <v>1</v>
      </c>
      <c r="G12" s="65">
        <f>IF((C14+C16+C18+C20+C22+C24)&gt;0,G13*120000/(1+(D11-1)/3),C12*120000/(1+(D11-1)/3))</f>
        <v>0</v>
      </c>
      <c r="H12" s="42"/>
      <c r="I12" s="49" t="s">
        <v>16</v>
      </c>
      <c r="J12" s="50">
        <f>2*G14/F14</f>
        <v>0</v>
      </c>
      <c r="K12" s="92">
        <f t="shared" si="0"/>
        <v>0</v>
      </c>
    </row>
    <row r="13" spans="2:11">
      <c r="B13" s="12" t="s">
        <v>50</v>
      </c>
      <c r="C13" s="29"/>
      <c r="D13" s="133">
        <v>1</v>
      </c>
      <c r="E13" s="74" t="s">
        <v>51</v>
      </c>
      <c r="F13" s="68"/>
      <c r="G13" s="67">
        <f>G15*4+C14*4</f>
        <v>0</v>
      </c>
      <c r="H13" s="42"/>
      <c r="I13" s="49" t="s">
        <v>13</v>
      </c>
      <c r="J13" s="50">
        <f>2*G16/F16</f>
        <v>0</v>
      </c>
      <c r="K13" s="92">
        <f t="shared" si="0"/>
        <v>0</v>
      </c>
    </row>
    <row r="14" spans="2:11">
      <c r="B14" s="14" t="s">
        <v>140</v>
      </c>
      <c r="C14" s="45">
        <v>0</v>
      </c>
      <c r="D14" s="134"/>
      <c r="E14" s="74" t="s">
        <v>23</v>
      </c>
      <c r="F14" s="69">
        <v>1</v>
      </c>
      <c r="G14" s="67">
        <f>IF((C16+C18+C20+C22+C24)&gt;0,G15*470000/(1+(D13-1)/3),C14*470000/(1+(D13-1)/3))</f>
        <v>0</v>
      </c>
      <c r="H14" s="42"/>
      <c r="I14" s="49" t="s">
        <v>12</v>
      </c>
      <c r="J14" s="50">
        <f>2*G16/F16</f>
        <v>0</v>
      </c>
      <c r="K14" s="92">
        <f t="shared" si="0"/>
        <v>0</v>
      </c>
    </row>
    <row r="15" spans="2:11">
      <c r="B15" s="124" t="s">
        <v>160</v>
      </c>
      <c r="C15" s="28"/>
      <c r="D15" s="133">
        <v>1</v>
      </c>
      <c r="E15" s="71" t="s">
        <v>52</v>
      </c>
      <c r="F15" s="72"/>
      <c r="G15" s="65">
        <f>G17*4+C16*4</f>
        <v>0</v>
      </c>
      <c r="H15" s="42"/>
      <c r="I15" s="49" t="s">
        <v>57</v>
      </c>
      <c r="J15" s="50">
        <f>2*G18/F18</f>
        <v>0</v>
      </c>
      <c r="K15" s="92">
        <f t="shared" si="0"/>
        <v>0</v>
      </c>
    </row>
    <row r="16" spans="2:11">
      <c r="B16" s="17" t="s">
        <v>140</v>
      </c>
      <c r="C16" s="45">
        <v>0</v>
      </c>
      <c r="D16" s="134"/>
      <c r="E16" s="71" t="s">
        <v>25</v>
      </c>
      <c r="F16" s="69">
        <v>1</v>
      </c>
      <c r="G16" s="65">
        <f>IF((C18+C20+C22+C24)&gt;0,G17*1900000/(1+(D15-1)/3),C16*1900000/(1+(D15-1)/3))</f>
        <v>0</v>
      </c>
      <c r="H16" s="42"/>
      <c r="I16" s="49" t="s">
        <v>56</v>
      </c>
      <c r="J16" s="50">
        <f>2*G20/F20+2*G18/F18</f>
        <v>0</v>
      </c>
      <c r="K16" s="92">
        <f t="shared" si="0"/>
        <v>0</v>
      </c>
    </row>
    <row r="17" spans="2:11">
      <c r="B17" s="93" t="s">
        <v>53</v>
      </c>
      <c r="C17" s="94"/>
      <c r="D17" s="131">
        <v>1</v>
      </c>
      <c r="E17" s="95" t="s">
        <v>54</v>
      </c>
      <c r="F17" s="95"/>
      <c r="G17" s="96">
        <f>G19*4+C18*4</f>
        <v>0</v>
      </c>
      <c r="H17" s="43"/>
      <c r="I17" s="49" t="s">
        <v>61</v>
      </c>
      <c r="J17" s="50">
        <f>2*G22/F22+2*G20/F20</f>
        <v>0</v>
      </c>
      <c r="K17" s="92">
        <f t="shared" si="0"/>
        <v>0</v>
      </c>
    </row>
    <row r="18" spans="2:11">
      <c r="B18" s="97" t="s">
        <v>140</v>
      </c>
      <c r="C18" s="98">
        <v>0</v>
      </c>
      <c r="D18" s="132"/>
      <c r="E18" s="99" t="s">
        <v>55</v>
      </c>
      <c r="F18" s="100">
        <v>1</v>
      </c>
      <c r="G18" s="96">
        <f>IF((C20+C22+C24)&gt;0,G19*1228172.75556476/(1+(D17-1)/3),C18*1228172.75556476/(1+(D17-1)/3))</f>
        <v>0</v>
      </c>
      <c r="H18" s="43"/>
      <c r="I18" s="49" t="s">
        <v>65</v>
      </c>
      <c r="J18" s="50">
        <f>2*G22/F22</f>
        <v>0</v>
      </c>
      <c r="K18" s="92">
        <f t="shared" si="0"/>
        <v>0</v>
      </c>
    </row>
    <row r="19" spans="2:11">
      <c r="B19" s="101" t="s">
        <v>59</v>
      </c>
      <c r="C19" s="102"/>
      <c r="D19" s="131">
        <v>1</v>
      </c>
      <c r="E19" s="103" t="s">
        <v>58</v>
      </c>
      <c r="F19" s="104"/>
      <c r="G19" s="105">
        <f>G21*4+C20*4</f>
        <v>0</v>
      </c>
      <c r="H19" s="43"/>
      <c r="I19" s="49" t="s">
        <v>69</v>
      </c>
      <c r="J19" s="50">
        <f>2*G24/F24</f>
        <v>0</v>
      </c>
      <c r="K19" s="92">
        <f t="shared" si="0"/>
        <v>0</v>
      </c>
    </row>
    <row r="20" spans="2:11">
      <c r="B20" s="106" t="s">
        <v>140</v>
      </c>
      <c r="C20" s="98">
        <v>0</v>
      </c>
      <c r="D20" s="132"/>
      <c r="E20" s="103" t="s">
        <v>60</v>
      </c>
      <c r="F20" s="100">
        <v>1</v>
      </c>
      <c r="G20" s="107">
        <f>IF((C22+C24)&gt;0,G21*3800000/(1+(D19-1)/3),C20*3800000/(1+(D19-1)/3))</f>
        <v>0</v>
      </c>
      <c r="H20" s="43"/>
      <c r="I20" s="49" t="s">
        <v>70</v>
      </c>
      <c r="J20" s="50">
        <f>2*G24/F24</f>
        <v>0</v>
      </c>
      <c r="K20" s="92">
        <f t="shared" si="0"/>
        <v>0</v>
      </c>
    </row>
    <row r="21" spans="2:11">
      <c r="B21" s="93" t="s">
        <v>63</v>
      </c>
      <c r="C21" s="94"/>
      <c r="D21" s="131">
        <v>1</v>
      </c>
      <c r="E21" s="99" t="s">
        <v>62</v>
      </c>
      <c r="F21" s="95"/>
      <c r="G21" s="96">
        <f>G23*4+C22*4</f>
        <v>0</v>
      </c>
      <c r="H21" s="43"/>
      <c r="I21" s="127"/>
      <c r="J21" s="1"/>
    </row>
    <row r="22" spans="2:11">
      <c r="B22" s="97" t="s">
        <v>140</v>
      </c>
      <c r="C22" s="98">
        <v>0</v>
      </c>
      <c r="D22" s="132"/>
      <c r="E22" s="99" t="s">
        <v>64</v>
      </c>
      <c r="F22" s="100">
        <v>1</v>
      </c>
      <c r="G22" s="96">
        <f>IF(C24&gt;0,G23*60000000/(1+(D21-1)/3),C22*60000000/(1+(D21-1)/3))</f>
        <v>0</v>
      </c>
      <c r="H22" s="43"/>
      <c r="K22" s="8"/>
    </row>
    <row r="23" spans="2:11" ht="15.75">
      <c r="B23" s="101" t="s">
        <v>67</v>
      </c>
      <c r="C23" s="102"/>
      <c r="D23" s="131">
        <v>1</v>
      </c>
      <c r="E23" s="103" t="s">
        <v>66</v>
      </c>
      <c r="F23" s="104"/>
      <c r="G23" s="107">
        <f>C24*4</f>
        <v>0</v>
      </c>
      <c r="H23" s="43"/>
      <c r="J23" s="125"/>
    </row>
    <row r="24" spans="2:11">
      <c r="B24" s="106" t="s">
        <v>140</v>
      </c>
      <c r="C24" s="98">
        <v>0</v>
      </c>
      <c r="D24" s="132"/>
      <c r="E24" s="104" t="s">
        <v>68</v>
      </c>
      <c r="F24" s="108">
        <v>1</v>
      </c>
      <c r="G24" s="107">
        <f>IF(C24&gt;0,C24*240000000/(1+(D23-1)/3),0)</f>
        <v>0</v>
      </c>
      <c r="H24" s="43"/>
      <c r="J24" s="126"/>
    </row>
    <row r="25" spans="2:11">
      <c r="B25" s="76"/>
      <c r="C25" s="76"/>
      <c r="D25" s="40"/>
      <c r="E25" s="76"/>
      <c r="F25" s="40"/>
      <c r="G25" s="80"/>
      <c r="H25" s="78"/>
      <c r="J25" s="1"/>
      <c r="K25" s="8"/>
    </row>
    <row r="26" spans="2:11">
      <c r="C26" s="38"/>
      <c r="D26" s="39"/>
      <c r="E26" s="38"/>
      <c r="F26" s="39"/>
      <c r="G26" s="79"/>
      <c r="H26" s="78"/>
      <c r="J26" s="1"/>
    </row>
    <row r="27" spans="2:11">
      <c r="C27" s="38"/>
      <c r="D27" s="39"/>
      <c r="E27" s="38"/>
      <c r="F27" s="39"/>
      <c r="G27" s="79"/>
      <c r="H27" s="78"/>
      <c r="J27" s="1"/>
    </row>
    <row r="28" spans="2:11">
      <c r="C28" s="38"/>
      <c r="D28" s="39"/>
      <c r="E28" s="38"/>
      <c r="F28" s="39"/>
      <c r="G28" s="79"/>
      <c r="H28" s="78"/>
      <c r="J28" s="1"/>
      <c r="K28" s="8"/>
    </row>
    <row r="29" spans="2:11">
      <c r="B29" s="38"/>
      <c r="C29" s="38"/>
      <c r="D29" s="39"/>
      <c r="E29" s="38"/>
      <c r="F29" s="39"/>
      <c r="G29" s="79"/>
      <c r="H29" s="78"/>
      <c r="J29" s="1"/>
    </row>
    <row r="30" spans="2:11">
      <c r="B30" s="38"/>
      <c r="C30" s="38"/>
      <c r="D30" s="39"/>
      <c r="E30" s="38"/>
      <c r="F30" s="39"/>
      <c r="G30" s="79"/>
      <c r="H30" s="78"/>
      <c r="J30" s="1"/>
    </row>
    <row r="31" spans="2:11">
      <c r="B31" s="38"/>
      <c r="C31" s="38"/>
      <c r="D31" s="39"/>
      <c r="E31" s="38"/>
      <c r="F31" s="39"/>
      <c r="G31" s="79"/>
      <c r="H31" s="78"/>
      <c r="J31" s="1"/>
    </row>
    <row r="32" spans="2:11">
      <c r="J32" s="1"/>
    </row>
    <row r="33" spans="10:10">
      <c r="J33" s="1"/>
    </row>
    <row r="34" spans="10:10">
      <c r="J34" s="1"/>
    </row>
  </sheetData>
  <mergeCells count="17">
    <mergeCell ref="I5:K5"/>
    <mergeCell ref="D13:D14"/>
    <mergeCell ref="D11:D12"/>
    <mergeCell ref="D9:D10"/>
    <mergeCell ref="B5:D5"/>
    <mergeCell ref="E5:G5"/>
    <mergeCell ref="B6:C6"/>
    <mergeCell ref="B7:C7"/>
    <mergeCell ref="D7:D8"/>
    <mergeCell ref="E7:E8"/>
    <mergeCell ref="F7:F8"/>
    <mergeCell ref="G7:G8"/>
    <mergeCell ref="D23:D24"/>
    <mergeCell ref="D19:D20"/>
    <mergeCell ref="D21:D22"/>
    <mergeCell ref="D17:D18"/>
    <mergeCell ref="D15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40"/>
  <sheetViews>
    <sheetView tabSelected="1" topLeftCell="A6" zoomScaleNormal="100" workbookViewId="0">
      <selection activeCell="J24" sqref="J24"/>
    </sheetView>
  </sheetViews>
  <sheetFormatPr baseColWidth="10" defaultRowHeight="15"/>
  <cols>
    <col min="1" max="1" width="1.140625" style="1" customWidth="1"/>
    <col min="2" max="2" width="31.5703125" style="1" customWidth="1"/>
    <col min="3" max="3" width="4.140625" style="1" customWidth="1"/>
    <col min="4" max="4" width="4" style="2" bestFit="1" customWidth="1"/>
    <col min="5" max="5" width="26" style="1" customWidth="1"/>
    <col min="6" max="6" width="4" style="2" customWidth="1"/>
    <col min="7" max="7" width="19" style="35" customWidth="1"/>
    <col min="8" max="8" width="0.85546875" style="35" customWidth="1"/>
    <col min="9" max="9" width="13.5703125" style="1" customWidth="1"/>
    <col min="10" max="10" width="27" style="2" customWidth="1"/>
    <col min="11" max="11" width="8" style="1" bestFit="1" customWidth="1"/>
    <col min="12" max="12" width="8.5703125" style="1" customWidth="1"/>
    <col min="13" max="16384" width="11.42578125" style="1"/>
  </cols>
  <sheetData>
    <row r="1" spans="2:12">
      <c r="B1" s="1" t="s">
        <v>30</v>
      </c>
      <c r="E1" s="10"/>
      <c r="G1" s="34" t="s">
        <v>144</v>
      </c>
      <c r="H1" s="34"/>
    </row>
    <row r="2" spans="2:12">
      <c r="E2" s="3"/>
    </row>
    <row r="3" spans="2:12">
      <c r="B3" s="23" t="s">
        <v>146</v>
      </c>
      <c r="C3" s="4"/>
      <c r="I3" s="5" t="s">
        <v>32</v>
      </c>
    </row>
    <row r="5" spans="2:12">
      <c r="B5" s="135" t="s">
        <v>29</v>
      </c>
      <c r="C5" s="141"/>
      <c r="D5" s="150"/>
      <c r="E5" s="135" t="s">
        <v>7</v>
      </c>
      <c r="F5" s="150"/>
      <c r="G5" s="36"/>
      <c r="H5" s="37"/>
      <c r="I5" s="135" t="s">
        <v>8</v>
      </c>
      <c r="J5" s="136"/>
      <c r="K5" s="137"/>
    </row>
    <row r="6" spans="2:12">
      <c r="B6" s="142" t="s">
        <v>28</v>
      </c>
      <c r="C6" s="137"/>
      <c r="D6" s="6" t="s">
        <v>31</v>
      </c>
      <c r="E6" s="9" t="s">
        <v>28</v>
      </c>
      <c r="F6" s="6" t="s">
        <v>31</v>
      </c>
      <c r="G6" s="36" t="s">
        <v>83</v>
      </c>
      <c r="H6" s="37"/>
      <c r="I6" s="9" t="s">
        <v>28</v>
      </c>
      <c r="J6" s="6" t="s">
        <v>83</v>
      </c>
      <c r="K6" s="6" t="s">
        <v>149</v>
      </c>
    </row>
    <row r="7" spans="2:12">
      <c r="B7" s="75" t="s">
        <v>34</v>
      </c>
      <c r="C7" s="16"/>
      <c r="D7" s="133">
        <v>1</v>
      </c>
      <c r="E7" s="145" t="s">
        <v>19</v>
      </c>
      <c r="F7" s="133">
        <v>1</v>
      </c>
      <c r="G7" s="147">
        <f>IF((C10+C12+C14+C16+C18+C20+C22+C24)&gt;0,G9*4900/(1+(D7-1)/3),C8*4900/(1+(D7-1)/3))</f>
        <v>0</v>
      </c>
      <c r="H7" s="37"/>
      <c r="I7" s="51" t="s">
        <v>10</v>
      </c>
      <c r="J7" s="50">
        <f>2/F7*G7</f>
        <v>0</v>
      </c>
      <c r="K7" s="92">
        <f>IF(G$7=0,0,(J7/SUM(J$7:J$19)*100)/(J$7/SUM(J$7:J$19)*100))</f>
        <v>0</v>
      </c>
      <c r="L7" s="91"/>
    </row>
    <row r="8" spans="2:12">
      <c r="B8" s="11" t="s">
        <v>140</v>
      </c>
      <c r="C8" s="46">
        <v>0</v>
      </c>
      <c r="D8" s="134"/>
      <c r="E8" s="134"/>
      <c r="F8" s="134"/>
      <c r="G8" s="149"/>
      <c r="H8" s="37"/>
      <c r="I8" s="49" t="s">
        <v>14</v>
      </c>
      <c r="J8" s="50">
        <f>2/F7*G7+2/F10*G10</f>
        <v>0</v>
      </c>
      <c r="K8" s="92">
        <f t="shared" ref="K8:K19" si="0">IF(G$7=0,0,(J8/SUM(J$7:J$19)*100)/(J$7/SUM(J$7:J$19)*100))</f>
        <v>0</v>
      </c>
      <c r="L8" s="91"/>
    </row>
    <row r="9" spans="2:12">
      <c r="B9" s="12" t="s">
        <v>35</v>
      </c>
      <c r="C9" s="15"/>
      <c r="D9" s="133">
        <v>1</v>
      </c>
      <c r="E9" s="77" t="s">
        <v>43</v>
      </c>
      <c r="F9" s="68"/>
      <c r="G9" s="67">
        <f>G11*4+C10*4</f>
        <v>0</v>
      </c>
      <c r="H9" s="37"/>
      <c r="I9" s="49" t="s">
        <v>11</v>
      </c>
      <c r="J9" s="50">
        <f>2/F10*G10</f>
        <v>0</v>
      </c>
      <c r="K9" s="92">
        <f t="shared" si="0"/>
        <v>0</v>
      </c>
      <c r="L9" s="91"/>
    </row>
    <row r="10" spans="2:12">
      <c r="B10" s="14" t="s">
        <v>140</v>
      </c>
      <c r="C10" s="45">
        <v>0</v>
      </c>
      <c r="D10" s="134"/>
      <c r="E10" s="68" t="s">
        <v>20</v>
      </c>
      <c r="F10" s="69">
        <v>1</v>
      </c>
      <c r="G10" s="67">
        <f>IF((C12+C14+C16+C18+C20+C22+C24)&gt;0,G11*20000/(1+(D9-1)/3),C10*20000/(1+(D9-1)/3))</f>
        <v>0</v>
      </c>
      <c r="H10" s="37"/>
      <c r="I10" s="49" t="s">
        <v>49</v>
      </c>
      <c r="J10" s="50">
        <f>2/F12*G12</f>
        <v>0</v>
      </c>
      <c r="K10" s="92">
        <f t="shared" si="0"/>
        <v>0</v>
      </c>
      <c r="L10" s="91"/>
    </row>
    <row r="11" spans="2:12">
      <c r="B11" s="75" t="s">
        <v>36</v>
      </c>
      <c r="C11" s="16"/>
      <c r="D11" s="133">
        <v>1</v>
      </c>
      <c r="E11" s="71" t="s">
        <v>38</v>
      </c>
      <c r="F11" s="72"/>
      <c r="G11" s="85">
        <f>G13*4+C12*4</f>
        <v>0</v>
      </c>
      <c r="H11" s="37"/>
      <c r="I11" s="49" t="s">
        <v>15</v>
      </c>
      <c r="J11" s="50">
        <f>2/F14*G14+2/F12*G12</f>
        <v>0</v>
      </c>
      <c r="K11" s="92">
        <f t="shared" si="0"/>
        <v>0</v>
      </c>
      <c r="L11" s="91"/>
    </row>
    <row r="12" spans="2:12">
      <c r="B12" s="17" t="s">
        <v>140</v>
      </c>
      <c r="C12" s="45">
        <v>0</v>
      </c>
      <c r="D12" s="134"/>
      <c r="E12" s="71" t="s">
        <v>37</v>
      </c>
      <c r="F12" s="69">
        <v>1</v>
      </c>
      <c r="G12" s="85">
        <f>IF((C14+C16+C18+C20+C22+C24)&gt;0,G13*79000/(1+(D11-1)/3),C12*79000/(1+(D11-1)/3))</f>
        <v>0</v>
      </c>
      <c r="H12" s="37"/>
      <c r="I12" s="49" t="s">
        <v>17</v>
      </c>
      <c r="J12" s="50">
        <f>2/F16*G16</f>
        <v>0</v>
      </c>
      <c r="K12" s="92">
        <f t="shared" si="0"/>
        <v>0</v>
      </c>
      <c r="L12" s="91"/>
    </row>
    <row r="13" spans="2:12">
      <c r="B13" s="12" t="s">
        <v>72</v>
      </c>
      <c r="C13" s="13"/>
      <c r="D13" s="133">
        <v>1</v>
      </c>
      <c r="E13" s="74" t="s">
        <v>40</v>
      </c>
      <c r="F13" s="68"/>
      <c r="G13" s="67">
        <f>G15*4+C14*4</f>
        <v>0</v>
      </c>
      <c r="H13" s="37"/>
      <c r="I13" s="49" t="s">
        <v>12</v>
      </c>
      <c r="J13" s="50">
        <f>2/F16*G16</f>
        <v>0</v>
      </c>
      <c r="K13" s="92">
        <f t="shared" si="0"/>
        <v>0</v>
      </c>
      <c r="L13" s="91"/>
    </row>
    <row r="14" spans="2:12">
      <c r="B14" s="14" t="s">
        <v>140</v>
      </c>
      <c r="C14" s="45">
        <v>0</v>
      </c>
      <c r="D14" s="134"/>
      <c r="E14" s="74" t="s">
        <v>39</v>
      </c>
      <c r="F14" s="69">
        <v>1</v>
      </c>
      <c r="G14" s="67">
        <f>IF((C16+C18+C20+C22+C24)&gt;0,G15*310000/(1+(D21-1)/3),C14*310000/(1+(D21-1)/3))</f>
        <v>0</v>
      </c>
      <c r="H14" s="37"/>
      <c r="I14" s="49" t="s">
        <v>13</v>
      </c>
      <c r="J14" s="50">
        <f>2/F18*G18+2/F14*G14</f>
        <v>0</v>
      </c>
      <c r="K14" s="92">
        <f t="shared" si="0"/>
        <v>0</v>
      </c>
      <c r="L14" s="91"/>
    </row>
    <row r="15" spans="2:12">
      <c r="B15" s="75" t="s">
        <v>41</v>
      </c>
      <c r="C15" s="16"/>
      <c r="D15" s="133">
        <v>1</v>
      </c>
      <c r="E15" s="71" t="s">
        <v>71</v>
      </c>
      <c r="F15" s="72"/>
      <c r="G15" s="85">
        <f>G17*4+C16*4</f>
        <v>0</v>
      </c>
      <c r="H15" s="37"/>
      <c r="I15" s="49" t="s">
        <v>27</v>
      </c>
      <c r="J15" s="50">
        <f>2/F20*G20+2/F18*G18</f>
        <v>0</v>
      </c>
      <c r="K15" s="92">
        <f t="shared" si="0"/>
        <v>0</v>
      </c>
      <c r="L15" s="91"/>
    </row>
    <row r="16" spans="2:12">
      <c r="B16" s="17" t="s">
        <v>140</v>
      </c>
      <c r="C16" s="45">
        <v>0</v>
      </c>
      <c r="D16" s="134"/>
      <c r="E16" s="71" t="s">
        <v>42</v>
      </c>
      <c r="F16" s="69">
        <v>1</v>
      </c>
      <c r="G16" s="85">
        <f>IF((C18+C20+C22+C24)&gt;0,G17*1300000/(1+(D15-1)/3),C16*1300000/(1+(D15-1)/3))</f>
        <v>0</v>
      </c>
      <c r="H16" s="37"/>
      <c r="I16" s="49" t="s">
        <v>78</v>
      </c>
      <c r="J16" s="50">
        <f>2/F22*G22+2/F20*G20</f>
        <v>0</v>
      </c>
      <c r="K16" s="92">
        <f t="shared" si="0"/>
        <v>0</v>
      </c>
      <c r="L16" s="91"/>
    </row>
    <row r="17" spans="2:12">
      <c r="B17" s="12" t="s">
        <v>73</v>
      </c>
      <c r="C17" s="13"/>
      <c r="D17" s="133">
        <v>1</v>
      </c>
      <c r="E17" s="74" t="s">
        <v>74</v>
      </c>
      <c r="F17" s="68"/>
      <c r="G17" s="67">
        <f>G19*4+C18*4</f>
        <v>0</v>
      </c>
      <c r="H17" s="37"/>
      <c r="I17" s="49" t="s">
        <v>57</v>
      </c>
      <c r="J17" s="50">
        <f>2/F22*G22</f>
        <v>0</v>
      </c>
      <c r="K17" s="92">
        <f t="shared" si="0"/>
        <v>0</v>
      </c>
      <c r="L17" s="91"/>
    </row>
    <row r="18" spans="2:12">
      <c r="B18" s="14" t="s">
        <v>140</v>
      </c>
      <c r="C18" s="45">
        <v>0</v>
      </c>
      <c r="D18" s="151"/>
      <c r="E18" s="74" t="s">
        <v>75</v>
      </c>
      <c r="F18" s="130">
        <v>1</v>
      </c>
      <c r="G18" s="67">
        <f>IF((C20+C22+C24)&gt;0,G19*5000000/(1+(D17-1)/3),C18*5000000/(1+(D17-1)/3))</f>
        <v>0</v>
      </c>
      <c r="H18" s="37"/>
      <c r="I18" s="49" t="s">
        <v>69</v>
      </c>
      <c r="J18" s="50">
        <f>2/F24*G24</f>
        <v>0</v>
      </c>
      <c r="K18" s="92">
        <f t="shared" si="0"/>
        <v>0</v>
      </c>
      <c r="L18" s="91"/>
    </row>
    <row r="19" spans="2:12">
      <c r="B19" s="101" t="s">
        <v>76</v>
      </c>
      <c r="C19" s="110"/>
      <c r="D19" s="131">
        <v>1</v>
      </c>
      <c r="E19" s="103" t="s">
        <v>141</v>
      </c>
      <c r="F19" s="104"/>
      <c r="G19" s="107">
        <f>G21*4+C20*4</f>
        <v>0</v>
      </c>
      <c r="H19" s="37"/>
      <c r="I19" s="49" t="s">
        <v>70</v>
      </c>
      <c r="J19" s="50">
        <f>2/F24*G24</f>
        <v>0</v>
      </c>
      <c r="K19" s="92">
        <f t="shared" si="0"/>
        <v>0</v>
      </c>
      <c r="L19" s="91"/>
    </row>
    <row r="20" spans="2:12">
      <c r="B20" s="106" t="s">
        <v>140</v>
      </c>
      <c r="C20" s="98">
        <v>0</v>
      </c>
      <c r="D20" s="132"/>
      <c r="E20" s="103" t="s">
        <v>77</v>
      </c>
      <c r="F20" s="100">
        <v>1</v>
      </c>
      <c r="G20" s="107">
        <f>IF((C22+C24)&gt;0,G21*10000000/(1+(D19-1)/3),C20*10000000/(1+(D19-1)/3))</f>
        <v>0</v>
      </c>
      <c r="H20" s="37"/>
      <c r="I20" s="127"/>
      <c r="K20" s="7"/>
    </row>
    <row r="21" spans="2:12">
      <c r="B21" s="93" t="s">
        <v>79</v>
      </c>
      <c r="C21" s="109"/>
      <c r="D21" s="131">
        <v>1</v>
      </c>
      <c r="E21" s="99" t="s">
        <v>80</v>
      </c>
      <c r="F21" s="95"/>
      <c r="G21" s="96">
        <f>G23*4+C22*4</f>
        <v>0</v>
      </c>
      <c r="H21" s="37"/>
      <c r="K21" s="7"/>
    </row>
    <row r="22" spans="2:12">
      <c r="B22" s="97" t="s">
        <v>140</v>
      </c>
      <c r="C22" s="98">
        <v>0</v>
      </c>
      <c r="D22" s="132"/>
      <c r="E22" s="99" t="s">
        <v>81</v>
      </c>
      <c r="F22" s="100">
        <v>1</v>
      </c>
      <c r="G22" s="96">
        <f>IF(C24&gt;0,G23*40000000/(1+(D21-1)/3),C22*40000000/(1+(D21-1)/3))</f>
        <v>0</v>
      </c>
      <c r="H22" s="37"/>
      <c r="K22" s="8"/>
    </row>
    <row r="23" spans="2:12">
      <c r="B23" s="101" t="s">
        <v>82</v>
      </c>
      <c r="C23" s="110"/>
      <c r="D23" s="131">
        <v>1</v>
      </c>
      <c r="E23" s="103" t="s">
        <v>142</v>
      </c>
      <c r="F23" s="104"/>
      <c r="G23" s="107">
        <f>C24*4</f>
        <v>0</v>
      </c>
      <c r="H23" s="37"/>
      <c r="K23" s="8"/>
    </row>
    <row r="24" spans="2:12">
      <c r="B24" s="106" t="s">
        <v>140</v>
      </c>
      <c r="C24" s="98">
        <v>0</v>
      </c>
      <c r="D24" s="132"/>
      <c r="E24" s="104" t="s">
        <v>68</v>
      </c>
      <c r="F24" s="108">
        <v>1</v>
      </c>
      <c r="G24" s="107">
        <f>IF(C24&gt;0,C24*160000000/(1+(D23-1)/3),0)</f>
        <v>0</v>
      </c>
      <c r="H24" s="37"/>
      <c r="K24" s="8"/>
    </row>
    <row r="25" spans="2:12">
      <c r="B25" s="40"/>
      <c r="C25" s="76"/>
      <c r="D25" s="40"/>
      <c r="E25" s="88"/>
      <c r="F25" s="89"/>
      <c r="G25" s="76"/>
      <c r="H25" s="39"/>
    </row>
    <row r="26" spans="2:12">
      <c r="B26" s="38"/>
      <c r="C26" s="38"/>
      <c r="D26" s="39"/>
      <c r="E26" s="38"/>
      <c r="F26" s="38"/>
      <c r="G26" s="38"/>
      <c r="H26" s="87"/>
      <c r="K26" s="8"/>
    </row>
    <row r="27" spans="2:12">
      <c r="B27" s="38"/>
      <c r="C27" s="38"/>
      <c r="D27" s="39"/>
      <c r="E27" s="38">
        <v>59000</v>
      </c>
      <c r="F27" s="38"/>
      <c r="G27" s="38"/>
      <c r="H27" s="87"/>
      <c r="K27" s="8"/>
    </row>
    <row r="28" spans="2:12">
      <c r="B28" s="38"/>
      <c r="C28" s="38"/>
      <c r="D28" s="39"/>
      <c r="E28" s="38">
        <f>E27*1.33333333333333</f>
        <v>78666.666666666468</v>
      </c>
      <c r="F28" s="38"/>
      <c r="G28" s="38"/>
      <c r="H28" s="87"/>
      <c r="J28" s="39"/>
      <c r="K28" s="8"/>
    </row>
    <row r="29" spans="2:12">
      <c r="B29" s="38"/>
      <c r="C29" s="38"/>
      <c r="D29" s="39"/>
      <c r="E29" s="38"/>
      <c r="F29" s="38"/>
      <c r="G29" s="38"/>
      <c r="H29" s="87"/>
      <c r="J29" s="39"/>
      <c r="K29" s="8"/>
    </row>
    <row r="30" spans="2:12">
      <c r="B30" s="38"/>
      <c r="C30" s="38"/>
      <c r="D30" s="39"/>
      <c r="E30" s="38"/>
      <c r="F30" s="38"/>
      <c r="G30" s="38"/>
      <c r="H30" s="87"/>
      <c r="J30" s="39"/>
      <c r="K30" s="8"/>
    </row>
    <row r="31" spans="2:12">
      <c r="B31" s="38"/>
      <c r="C31" s="38"/>
      <c r="D31" s="39"/>
      <c r="E31" s="38"/>
      <c r="F31" s="38"/>
      <c r="G31" s="38"/>
      <c r="H31" s="87"/>
    </row>
    <row r="32" spans="2:12">
      <c r="B32" s="38"/>
      <c r="C32" s="38"/>
      <c r="D32" s="39"/>
      <c r="E32" s="38"/>
      <c r="F32" s="38"/>
      <c r="G32" s="38"/>
    </row>
    <row r="33" spans="2:7">
      <c r="B33" s="38"/>
      <c r="C33" s="38"/>
      <c r="D33" s="39"/>
      <c r="E33" s="38"/>
      <c r="F33" s="38"/>
      <c r="G33" s="38"/>
    </row>
    <row r="34" spans="2:7">
      <c r="B34" s="38"/>
      <c r="C34" s="38"/>
      <c r="D34" s="39"/>
      <c r="E34" s="38"/>
      <c r="F34" s="38"/>
      <c r="G34" s="38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</sheetData>
  <mergeCells count="16">
    <mergeCell ref="I5:K5"/>
    <mergeCell ref="D7:D8"/>
    <mergeCell ref="F7:F8"/>
    <mergeCell ref="E7:E8"/>
    <mergeCell ref="G7:G8"/>
    <mergeCell ref="B5:D5"/>
    <mergeCell ref="E5:F5"/>
    <mergeCell ref="B6:C6"/>
    <mergeCell ref="D23:D24"/>
    <mergeCell ref="D19:D20"/>
    <mergeCell ref="D15:D16"/>
    <mergeCell ref="D11:D12"/>
    <mergeCell ref="D9:D10"/>
    <mergeCell ref="D13:D14"/>
    <mergeCell ref="D17:D18"/>
    <mergeCell ref="D21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82"/>
  <sheetViews>
    <sheetView workbookViewId="0">
      <selection activeCell="G18" sqref="G18"/>
    </sheetView>
  </sheetViews>
  <sheetFormatPr baseColWidth="10" defaultRowHeight="15"/>
  <cols>
    <col min="1" max="1" width="1.28515625" style="1" customWidth="1"/>
    <col min="2" max="2" width="27.140625" style="1" customWidth="1"/>
    <col min="3" max="3" width="4.28515625" style="1" customWidth="1"/>
    <col min="4" max="4" width="4" style="2" bestFit="1" customWidth="1"/>
    <col min="5" max="5" width="23.5703125" style="1" customWidth="1"/>
    <col min="6" max="6" width="4" style="2" customWidth="1"/>
    <col min="7" max="7" width="28.140625" style="24" customWidth="1"/>
    <col min="8" max="8" width="1.28515625" style="24" customWidth="1"/>
    <col min="9" max="9" width="13.85546875" style="1" customWidth="1"/>
    <col min="10" max="10" width="23.7109375" style="2" customWidth="1"/>
    <col min="11" max="11" width="8" style="1" bestFit="1" customWidth="1"/>
    <col min="12" max="12" width="8.5703125" style="1" customWidth="1"/>
    <col min="13" max="16384" width="11.42578125" style="1"/>
  </cols>
  <sheetData>
    <row r="1" spans="2:11">
      <c r="B1" s="1" t="s">
        <v>30</v>
      </c>
      <c r="E1" s="10"/>
      <c r="G1" s="26" t="s">
        <v>143</v>
      </c>
      <c r="H1" s="26"/>
    </row>
    <row r="2" spans="2:11">
      <c r="E2" s="3"/>
    </row>
    <row r="3" spans="2:11">
      <c r="B3" s="23" t="s">
        <v>146</v>
      </c>
      <c r="C3" s="4"/>
      <c r="I3" s="5" t="s">
        <v>32</v>
      </c>
    </row>
    <row r="5" spans="2:11">
      <c r="B5" s="140" t="s">
        <v>29</v>
      </c>
      <c r="C5" s="140"/>
      <c r="D5" s="140"/>
      <c r="E5" s="135" t="s">
        <v>7</v>
      </c>
      <c r="F5" s="141"/>
      <c r="G5" s="137"/>
      <c r="H5" s="41"/>
      <c r="I5" s="18" t="s">
        <v>8</v>
      </c>
      <c r="J5" s="135"/>
      <c r="K5" s="137"/>
    </row>
    <row r="6" spans="2:11">
      <c r="B6" s="142" t="s">
        <v>28</v>
      </c>
      <c r="C6" s="137"/>
      <c r="D6" s="6" t="s">
        <v>31</v>
      </c>
      <c r="E6" s="22" t="s">
        <v>28</v>
      </c>
      <c r="F6" s="6" t="s">
        <v>31</v>
      </c>
      <c r="G6" s="25" t="s">
        <v>83</v>
      </c>
      <c r="H6" s="42"/>
      <c r="I6" s="22" t="s">
        <v>28</v>
      </c>
      <c r="J6" s="6" t="s">
        <v>83</v>
      </c>
      <c r="K6" s="6" t="s">
        <v>149</v>
      </c>
    </row>
    <row r="7" spans="2:11">
      <c r="B7" s="55" t="s">
        <v>119</v>
      </c>
      <c r="C7" s="16"/>
      <c r="D7" s="133">
        <v>1</v>
      </c>
      <c r="E7" s="57" t="s">
        <v>120</v>
      </c>
      <c r="F7" s="133">
        <v>1</v>
      </c>
      <c r="G7" s="59">
        <f>IF((C10+C12+C14+C16+C18+C20+C22+C24)&gt;0,G9*4900/(1+(D7-1)/3),C8*4900/(1+(D7-1)/3))</f>
        <v>0</v>
      </c>
      <c r="H7" s="42"/>
      <c r="I7" s="49" t="s">
        <v>10</v>
      </c>
      <c r="J7" s="50">
        <f>2*G7/F7</f>
        <v>0</v>
      </c>
      <c r="K7" s="92">
        <f>IF(G$7=0,0,(J7/SUM(J$7:J$22)*100)/(J$7/SUM(J$7:J$22)*100))</f>
        <v>0</v>
      </c>
    </row>
    <row r="8" spans="2:11">
      <c r="B8" s="11" t="s">
        <v>140</v>
      </c>
      <c r="C8" s="46">
        <v>0</v>
      </c>
      <c r="D8" s="134"/>
      <c r="E8" s="58"/>
      <c r="F8" s="134"/>
      <c r="G8" s="60"/>
      <c r="H8" s="42"/>
      <c r="I8" s="49" t="s">
        <v>11</v>
      </c>
      <c r="J8" s="50">
        <f>2*G7/F7</f>
        <v>0</v>
      </c>
      <c r="K8" s="92">
        <f t="shared" ref="K8:K22" si="0">IF(G$7=0,0,(J8/SUM(J$7:J$22)*100)/(J$7/SUM(J$7:J$22)*100))</f>
        <v>0</v>
      </c>
    </row>
    <row r="9" spans="2:11">
      <c r="B9" s="12" t="s">
        <v>123</v>
      </c>
      <c r="C9" s="15"/>
      <c r="D9" s="133">
        <v>1</v>
      </c>
      <c r="E9" s="63" t="s">
        <v>121</v>
      </c>
      <c r="F9" s="53"/>
      <c r="G9" s="54">
        <f>G11*4+C10*4</f>
        <v>0</v>
      </c>
      <c r="H9" s="42"/>
      <c r="I9" s="49" t="s">
        <v>14</v>
      </c>
      <c r="J9" s="50">
        <f>2*G10/F10</f>
        <v>0</v>
      </c>
      <c r="K9" s="92">
        <f t="shared" si="0"/>
        <v>0</v>
      </c>
    </row>
    <row r="10" spans="2:11">
      <c r="B10" s="14" t="s">
        <v>140</v>
      </c>
      <c r="C10" s="45">
        <v>0</v>
      </c>
      <c r="D10" s="134"/>
      <c r="E10" s="53" t="s">
        <v>122</v>
      </c>
      <c r="F10" s="52">
        <v>1</v>
      </c>
      <c r="G10" s="54">
        <f>IF((C12+C14+C16+C18+C20+C22+C24)&gt;0,G11*20000/(1+(D9-1)/3),C10*20000/(1+(D9-1)/3))</f>
        <v>0</v>
      </c>
      <c r="H10" s="44"/>
      <c r="I10" s="49" t="s">
        <v>16</v>
      </c>
      <c r="J10" s="50">
        <f>2*G12/F12+2*G10/F10</f>
        <v>0</v>
      </c>
      <c r="K10" s="92">
        <f t="shared" si="0"/>
        <v>0</v>
      </c>
    </row>
    <row r="11" spans="2:11">
      <c r="B11" s="55" t="s">
        <v>125</v>
      </c>
      <c r="C11" s="16"/>
      <c r="D11" s="133">
        <v>1</v>
      </c>
      <c r="E11" s="61" t="s">
        <v>124</v>
      </c>
      <c r="F11" s="57"/>
      <c r="G11" s="59">
        <f>G13*4+C12*4</f>
        <v>0</v>
      </c>
      <c r="H11" s="42"/>
      <c r="I11" s="49" t="s">
        <v>15</v>
      </c>
      <c r="J11" s="50">
        <f>2*G12/F12</f>
        <v>0</v>
      </c>
      <c r="K11" s="92">
        <f t="shared" si="0"/>
        <v>0</v>
      </c>
    </row>
    <row r="12" spans="2:11">
      <c r="B12" s="17" t="s">
        <v>140</v>
      </c>
      <c r="C12" s="45">
        <v>0</v>
      </c>
      <c r="D12" s="134"/>
      <c r="E12" s="61" t="s">
        <v>26</v>
      </c>
      <c r="F12" s="52">
        <v>1</v>
      </c>
      <c r="G12" s="59">
        <f>IF((C14+C16+C18+C20+C22+C24)&gt;0,G13*79000/(1+(D11-1)/3),C12*79000/(1+(D11-1)/3))</f>
        <v>0</v>
      </c>
      <c r="H12" s="42"/>
      <c r="I12" s="49" t="s">
        <v>18</v>
      </c>
      <c r="J12" s="50">
        <f>2*G14/F14</f>
        <v>0</v>
      </c>
      <c r="K12" s="92">
        <f t="shared" si="0"/>
        <v>0</v>
      </c>
    </row>
    <row r="13" spans="2:11">
      <c r="B13" s="12" t="s">
        <v>127</v>
      </c>
      <c r="C13" s="13"/>
      <c r="D13" s="133">
        <v>1</v>
      </c>
      <c r="E13" s="62" t="s">
        <v>126</v>
      </c>
      <c r="F13" s="53"/>
      <c r="G13" s="54">
        <f>G15*4+C14*4</f>
        <v>0</v>
      </c>
      <c r="H13" s="42"/>
      <c r="I13" s="49" t="s">
        <v>17</v>
      </c>
      <c r="J13" s="50">
        <f>2*G16/F16+2*G14/F14</f>
        <v>0</v>
      </c>
      <c r="K13" s="92">
        <f t="shared" si="0"/>
        <v>0</v>
      </c>
    </row>
    <row r="14" spans="2:11">
      <c r="B14" s="14" t="s">
        <v>140</v>
      </c>
      <c r="C14" s="45">
        <v>0</v>
      </c>
      <c r="D14" s="134"/>
      <c r="E14" s="62" t="s">
        <v>104</v>
      </c>
      <c r="F14" s="52">
        <v>1</v>
      </c>
      <c r="G14" s="54">
        <f>IF((C16+C18+C20+C22+C24)&gt;0,G15*310000/(1+(D13-1)/3),C14*310000/(1+(D13-1)/3))</f>
        <v>0</v>
      </c>
      <c r="H14" s="42"/>
      <c r="I14" s="49" t="s">
        <v>27</v>
      </c>
      <c r="J14" s="50">
        <f>2*G16/F16</f>
        <v>0</v>
      </c>
      <c r="K14" s="92">
        <f t="shared" si="0"/>
        <v>0</v>
      </c>
    </row>
    <row r="15" spans="2:11">
      <c r="B15" s="55" t="s">
        <v>129</v>
      </c>
      <c r="C15" s="16"/>
      <c r="D15" s="133">
        <v>1</v>
      </c>
      <c r="E15" s="61" t="s">
        <v>128</v>
      </c>
      <c r="F15" s="57"/>
      <c r="G15" s="59">
        <f>G17*4+C16*4</f>
        <v>0</v>
      </c>
      <c r="H15" s="42"/>
      <c r="I15" s="49" t="s">
        <v>12</v>
      </c>
      <c r="J15" s="50">
        <f>2*G18/F18</f>
        <v>0</v>
      </c>
      <c r="K15" s="92">
        <f t="shared" si="0"/>
        <v>0</v>
      </c>
    </row>
    <row r="16" spans="2:11">
      <c r="B16" s="17" t="s">
        <v>140</v>
      </c>
      <c r="C16" s="45">
        <v>0</v>
      </c>
      <c r="D16" s="134"/>
      <c r="E16" s="61" t="s">
        <v>107</v>
      </c>
      <c r="F16" s="52">
        <v>1</v>
      </c>
      <c r="G16" s="59">
        <f>IF((C18+C20+C22+C24)&gt;0,G17*1300000/(1+(D15-1)/3),C16*1300000/(1+(D15-1)/3))</f>
        <v>0</v>
      </c>
      <c r="H16" s="42"/>
      <c r="I16" s="49" t="s">
        <v>56</v>
      </c>
      <c r="J16" s="50">
        <f>2*G18/F18</f>
        <v>0</v>
      </c>
      <c r="K16" s="92">
        <f t="shared" si="0"/>
        <v>0</v>
      </c>
    </row>
    <row r="17" spans="2:11">
      <c r="B17" s="12" t="s">
        <v>131</v>
      </c>
      <c r="C17" s="13"/>
      <c r="D17" s="133">
        <v>1</v>
      </c>
      <c r="E17" s="74" t="s">
        <v>130</v>
      </c>
      <c r="F17" s="68"/>
      <c r="G17" s="67">
        <f>G19*4+C18*4</f>
        <v>0</v>
      </c>
      <c r="H17" s="42"/>
      <c r="I17" s="49" t="s">
        <v>57</v>
      </c>
      <c r="J17" s="50">
        <f>2*G20/F20</f>
        <v>0</v>
      </c>
      <c r="K17" s="92">
        <f t="shared" si="0"/>
        <v>0</v>
      </c>
    </row>
    <row r="18" spans="2:11">
      <c r="B18" s="14" t="s">
        <v>140</v>
      </c>
      <c r="C18" s="45">
        <v>0</v>
      </c>
      <c r="D18" s="151"/>
      <c r="E18" s="74" t="s">
        <v>133</v>
      </c>
      <c r="F18" s="129">
        <v>1</v>
      </c>
      <c r="G18" s="67">
        <f>IF((C20+C22+C24)&gt;0,G19*5000000/(1+(D17-1)/3),C18*5000000/(1+(D17-1)/3))</f>
        <v>0</v>
      </c>
      <c r="H18" s="42"/>
      <c r="I18" s="49" t="s">
        <v>61</v>
      </c>
      <c r="J18" s="50">
        <f>2*G20/F20</f>
        <v>0</v>
      </c>
      <c r="K18" s="92">
        <f t="shared" si="0"/>
        <v>0</v>
      </c>
    </row>
    <row r="19" spans="2:11">
      <c r="B19" s="101" t="s">
        <v>134</v>
      </c>
      <c r="C19" s="110"/>
      <c r="D19" s="131">
        <v>1</v>
      </c>
      <c r="E19" s="103" t="s">
        <v>132</v>
      </c>
      <c r="F19" s="104"/>
      <c r="G19" s="107">
        <f>G21*4+C20*4</f>
        <v>0</v>
      </c>
      <c r="H19" s="42"/>
      <c r="I19" s="49" t="s">
        <v>78</v>
      </c>
      <c r="J19" s="50">
        <f>2*G22/F22</f>
        <v>0</v>
      </c>
      <c r="K19" s="92">
        <f t="shared" si="0"/>
        <v>0</v>
      </c>
    </row>
    <row r="20" spans="2:11">
      <c r="B20" s="106" t="s">
        <v>140</v>
      </c>
      <c r="C20" s="98">
        <v>0</v>
      </c>
      <c r="D20" s="132"/>
      <c r="E20" s="103" t="s">
        <v>112</v>
      </c>
      <c r="F20" s="100">
        <v>1</v>
      </c>
      <c r="G20" s="107">
        <f>IF((C22+C24)&gt;0,G21*10000000/(1+(D19-1)/3),C20*10000000/(1+(D19-1)/3))</f>
        <v>0</v>
      </c>
      <c r="H20" s="42"/>
      <c r="I20" s="49" t="s">
        <v>65</v>
      </c>
      <c r="J20" s="50">
        <f>2*G22/F22</f>
        <v>0</v>
      </c>
      <c r="K20" s="92">
        <f t="shared" si="0"/>
        <v>0</v>
      </c>
    </row>
    <row r="21" spans="2:11">
      <c r="B21" s="93" t="s">
        <v>135</v>
      </c>
      <c r="C21" s="109"/>
      <c r="D21" s="131">
        <v>1</v>
      </c>
      <c r="E21" s="99" t="s">
        <v>137</v>
      </c>
      <c r="F21" s="95"/>
      <c r="G21" s="96">
        <f>G23*4+C22*4</f>
        <v>0</v>
      </c>
      <c r="H21" s="42"/>
      <c r="I21" s="49" t="s">
        <v>93</v>
      </c>
      <c r="J21" s="50">
        <f>2*G24/F24</f>
        <v>0</v>
      </c>
      <c r="K21" s="92">
        <f t="shared" si="0"/>
        <v>0</v>
      </c>
    </row>
    <row r="22" spans="2:11">
      <c r="B22" s="97" t="s">
        <v>140</v>
      </c>
      <c r="C22" s="98">
        <v>0</v>
      </c>
      <c r="D22" s="132"/>
      <c r="E22" s="99" t="s">
        <v>90</v>
      </c>
      <c r="F22" s="100">
        <v>1</v>
      </c>
      <c r="G22" s="96">
        <f>IF(C24&gt;0,G23*40000000/(1+(D21-1)/3),C22*40000000/(1+(D21-1)/3))</f>
        <v>0</v>
      </c>
      <c r="H22" s="42"/>
      <c r="I22" s="49" t="s">
        <v>70</v>
      </c>
      <c r="J22" s="50">
        <f>2*G24/F24</f>
        <v>0</v>
      </c>
      <c r="K22" s="92">
        <f t="shared" si="0"/>
        <v>0</v>
      </c>
    </row>
    <row r="23" spans="2:11">
      <c r="B23" s="101" t="s">
        <v>138</v>
      </c>
      <c r="C23" s="110"/>
      <c r="D23" s="131">
        <v>2</v>
      </c>
      <c r="E23" s="103" t="s">
        <v>136</v>
      </c>
      <c r="F23" s="104"/>
      <c r="G23" s="107">
        <f>C24*4</f>
        <v>0</v>
      </c>
      <c r="H23" s="43"/>
      <c r="I23" s="128"/>
    </row>
    <row r="24" spans="2:11">
      <c r="B24" s="106" t="s">
        <v>140</v>
      </c>
      <c r="C24" s="98">
        <v>0</v>
      </c>
      <c r="D24" s="132"/>
      <c r="E24" s="104" t="s">
        <v>139</v>
      </c>
      <c r="F24" s="108">
        <v>1</v>
      </c>
      <c r="G24" s="107">
        <f>IF(C24&gt;0,C24*160000000/(1+(D23-1)/3),0)</f>
        <v>0</v>
      </c>
      <c r="H24" s="43"/>
      <c r="I24" s="38"/>
    </row>
    <row r="25" spans="2:11">
      <c r="B25" s="56"/>
      <c r="C25" s="56"/>
      <c r="D25" s="40"/>
      <c r="E25" s="56"/>
      <c r="F25" s="40"/>
      <c r="G25" s="80"/>
      <c r="H25" s="78"/>
    </row>
    <row r="26" spans="2:11">
      <c r="B26" s="38"/>
      <c r="C26" s="38"/>
      <c r="D26" s="39"/>
      <c r="E26" s="38"/>
      <c r="F26" s="39"/>
      <c r="G26" s="79"/>
      <c r="H26" s="78"/>
    </row>
    <row r="27" spans="2:11">
      <c r="B27" s="38"/>
      <c r="C27" s="38"/>
      <c r="D27" s="39"/>
      <c r="E27" s="38"/>
      <c r="F27" s="39"/>
      <c r="G27" s="79"/>
      <c r="H27" s="78"/>
    </row>
    <row r="28" spans="2:11">
      <c r="B28" s="38"/>
      <c r="C28" s="38"/>
      <c r="D28" s="39"/>
      <c r="E28" s="38"/>
      <c r="F28" s="39"/>
      <c r="G28" s="79" t="s">
        <v>148</v>
      </c>
      <c r="H28" s="78"/>
    </row>
    <row r="29" spans="2:11">
      <c r="B29" s="38"/>
      <c r="C29" s="38"/>
      <c r="D29" s="39"/>
      <c r="E29" s="38"/>
      <c r="F29" s="39"/>
      <c r="G29" s="79"/>
      <c r="H29" s="78"/>
    </row>
    <row r="30" spans="2:11">
      <c r="B30" s="38"/>
      <c r="C30" s="38"/>
      <c r="D30" s="39"/>
      <c r="E30" s="38"/>
      <c r="F30" s="39"/>
      <c r="G30" s="79"/>
      <c r="H30" s="78"/>
    </row>
    <row r="31" spans="2:11">
      <c r="B31" s="38"/>
      <c r="C31" s="38"/>
      <c r="D31" s="39"/>
      <c r="E31" s="38"/>
      <c r="F31" s="39"/>
      <c r="G31" s="79"/>
      <c r="H31" s="78"/>
    </row>
    <row r="32" spans="2:11">
      <c r="B32" s="38"/>
      <c r="C32" s="38"/>
      <c r="D32" s="39"/>
      <c r="E32" s="38"/>
      <c r="F32" s="39"/>
      <c r="G32" s="79"/>
      <c r="H32" s="78"/>
    </row>
    <row r="33" spans="2:11">
      <c r="B33" s="38"/>
      <c r="C33" s="38"/>
      <c r="D33" s="39"/>
      <c r="E33" s="38"/>
      <c r="F33" s="39"/>
      <c r="G33" s="79"/>
      <c r="H33" s="78"/>
    </row>
    <row r="34" spans="2:11">
      <c r="B34" s="38"/>
      <c r="C34" s="38"/>
      <c r="D34" s="39"/>
      <c r="E34" s="38"/>
      <c r="F34" s="39"/>
      <c r="G34" s="79"/>
      <c r="H34" s="78"/>
    </row>
    <row r="35" spans="2:11">
      <c r="B35" s="38"/>
      <c r="C35" s="38"/>
      <c r="D35" s="39"/>
      <c r="E35" s="38"/>
      <c r="F35" s="39"/>
      <c r="G35" s="79"/>
      <c r="H35" s="78"/>
      <c r="K35" s="7"/>
    </row>
    <row r="36" spans="2:11">
      <c r="B36" s="38"/>
      <c r="C36" s="38"/>
      <c r="D36" s="39"/>
      <c r="E36" s="38"/>
      <c r="F36" s="39"/>
      <c r="G36" s="79"/>
      <c r="H36" s="78"/>
      <c r="K36" s="7"/>
    </row>
    <row r="37" spans="2:11">
      <c r="B37" s="38"/>
      <c r="C37" s="38"/>
      <c r="D37" s="39"/>
      <c r="E37" s="38"/>
      <c r="F37" s="39"/>
      <c r="G37" s="79"/>
      <c r="H37" s="78"/>
      <c r="K37" s="7"/>
    </row>
    <row r="38" spans="2:11">
      <c r="B38" s="38"/>
      <c r="C38" s="38"/>
      <c r="D38" s="39"/>
      <c r="E38" s="38"/>
      <c r="F38" s="39"/>
      <c r="G38" s="79"/>
      <c r="H38" s="78"/>
      <c r="K38" s="7"/>
    </row>
    <row r="39" spans="2:11">
      <c r="B39" s="38"/>
      <c r="C39" s="38"/>
      <c r="D39" s="39"/>
      <c r="E39" s="38"/>
      <c r="F39" s="39"/>
      <c r="G39" s="79"/>
      <c r="H39" s="78"/>
      <c r="K39" s="8"/>
    </row>
    <row r="40" spans="2:11">
      <c r="B40" s="38"/>
      <c r="C40" s="38"/>
      <c r="D40" s="39"/>
      <c r="E40" s="38"/>
      <c r="F40" s="39"/>
      <c r="G40" s="79"/>
      <c r="H40" s="78"/>
      <c r="K40" s="8"/>
    </row>
    <row r="41" spans="2:11">
      <c r="B41" s="38"/>
      <c r="C41" s="38"/>
      <c r="D41" s="39"/>
      <c r="E41" s="38"/>
      <c r="F41" s="39"/>
      <c r="G41" s="79"/>
      <c r="H41" s="78"/>
      <c r="K41" s="8"/>
    </row>
    <row r="42" spans="2:11">
      <c r="B42" s="38"/>
      <c r="C42" s="38"/>
      <c r="D42" s="39"/>
      <c r="E42" s="38"/>
      <c r="F42" s="39"/>
      <c r="G42" s="79"/>
      <c r="H42" s="78"/>
      <c r="K42" s="8"/>
    </row>
    <row r="43" spans="2:11">
      <c r="B43" s="38"/>
      <c r="C43" s="38"/>
      <c r="D43" s="39"/>
      <c r="E43" s="38"/>
      <c r="F43" s="39"/>
      <c r="G43" s="79"/>
      <c r="H43" s="78"/>
      <c r="K43" s="8"/>
    </row>
    <row r="44" spans="2:11">
      <c r="B44" s="38"/>
      <c r="C44" s="38"/>
      <c r="D44" s="39"/>
      <c r="E44" s="38"/>
      <c r="F44" s="39"/>
      <c r="G44" s="79"/>
      <c r="H44" s="78"/>
      <c r="K44" s="8"/>
    </row>
    <row r="45" spans="2:11">
      <c r="B45" s="38"/>
      <c r="C45" s="38"/>
      <c r="D45" s="39"/>
      <c r="E45" s="38"/>
      <c r="F45" s="39"/>
      <c r="G45" s="79"/>
      <c r="H45" s="78"/>
      <c r="K45" s="8"/>
    </row>
    <row r="46" spans="2:11">
      <c r="B46" s="38"/>
      <c r="C46" s="38"/>
      <c r="D46" s="39"/>
      <c r="E46" s="38"/>
      <c r="F46" s="39"/>
      <c r="G46" s="79"/>
      <c r="H46" s="78"/>
      <c r="K46" s="8"/>
    </row>
    <row r="47" spans="2:11">
      <c r="B47" s="38"/>
      <c r="C47" s="38"/>
      <c r="D47" s="39"/>
      <c r="E47" s="38"/>
      <c r="F47" s="39"/>
      <c r="G47" s="79"/>
      <c r="H47" s="78"/>
      <c r="K47" s="8"/>
    </row>
    <row r="48" spans="2:11">
      <c r="B48" s="38"/>
      <c r="C48" s="38"/>
      <c r="D48" s="39"/>
      <c r="E48" s="38"/>
      <c r="F48" s="39"/>
      <c r="G48" s="79"/>
      <c r="H48" s="78"/>
      <c r="K48" s="8"/>
    </row>
    <row r="49" spans="2:11">
      <c r="B49" s="38"/>
      <c r="C49" s="38"/>
      <c r="D49" s="39"/>
      <c r="E49" s="38"/>
      <c r="F49" s="39"/>
      <c r="G49" s="79"/>
      <c r="H49" s="78"/>
      <c r="K49" s="8"/>
    </row>
    <row r="50" spans="2:11">
      <c r="B50" s="38"/>
      <c r="C50" s="38"/>
      <c r="D50" s="39"/>
      <c r="E50" s="38"/>
      <c r="F50" s="39"/>
      <c r="G50" s="79"/>
      <c r="H50" s="78"/>
      <c r="K50" s="8"/>
    </row>
    <row r="51" spans="2:11">
      <c r="B51" s="38"/>
      <c r="C51" s="38"/>
      <c r="D51" s="39"/>
      <c r="E51" s="38"/>
      <c r="F51" s="39"/>
      <c r="G51" s="79"/>
      <c r="H51" s="78"/>
      <c r="K51" s="8"/>
    </row>
    <row r="52" spans="2:11">
      <c r="B52" s="38"/>
      <c r="C52" s="38"/>
      <c r="D52" s="39"/>
      <c r="E52" s="38"/>
      <c r="F52" s="39"/>
      <c r="G52" s="79"/>
      <c r="H52" s="78"/>
      <c r="K52" s="8"/>
    </row>
    <row r="53" spans="2:11">
      <c r="B53" s="38"/>
      <c r="C53" s="38"/>
      <c r="D53" s="39"/>
      <c r="E53" s="38"/>
      <c r="F53" s="39"/>
      <c r="G53" s="79"/>
      <c r="H53" s="78"/>
      <c r="K53" s="8"/>
    </row>
    <row r="54" spans="2:11">
      <c r="B54" s="38"/>
      <c r="C54" s="38"/>
      <c r="D54" s="39"/>
      <c r="E54" s="38"/>
      <c r="F54" s="39"/>
      <c r="G54" s="79"/>
      <c r="H54" s="78"/>
      <c r="K54" s="8"/>
    </row>
    <row r="55" spans="2:11">
      <c r="B55" s="38"/>
      <c r="C55" s="38"/>
      <c r="D55" s="39"/>
      <c r="E55" s="38"/>
      <c r="F55" s="39"/>
      <c r="G55" s="79"/>
      <c r="H55" s="78"/>
      <c r="K55" s="8"/>
    </row>
    <row r="56" spans="2:11">
      <c r="B56" s="38"/>
      <c r="C56" s="38"/>
      <c r="D56" s="39"/>
      <c r="E56" s="38"/>
      <c r="F56" s="39"/>
      <c r="G56" s="79"/>
      <c r="H56" s="78"/>
      <c r="K56" s="8"/>
    </row>
    <row r="57" spans="2:11">
      <c r="B57" s="38"/>
      <c r="C57" s="38"/>
      <c r="D57" s="39"/>
      <c r="E57" s="38"/>
      <c r="F57" s="39"/>
      <c r="G57" s="79"/>
      <c r="H57" s="78"/>
      <c r="K57" s="8"/>
    </row>
    <row r="58" spans="2:11">
      <c r="B58" s="38"/>
      <c r="C58" s="38"/>
      <c r="D58" s="39"/>
      <c r="E58" s="38"/>
      <c r="F58" s="39"/>
      <c r="G58" s="79"/>
      <c r="H58" s="78"/>
      <c r="K58" s="8"/>
    </row>
    <row r="59" spans="2:11">
      <c r="B59" s="38"/>
      <c r="C59" s="38"/>
      <c r="D59" s="39"/>
      <c r="E59" s="38"/>
      <c r="F59" s="39"/>
      <c r="G59" s="79"/>
      <c r="H59" s="78"/>
      <c r="K59" s="8"/>
    </row>
    <row r="60" spans="2:11">
      <c r="B60" s="38"/>
      <c r="C60" s="38"/>
      <c r="D60" s="39"/>
      <c r="E60" s="38"/>
      <c r="F60" s="39"/>
      <c r="G60" s="79"/>
      <c r="H60" s="78"/>
      <c r="K60" s="8"/>
    </row>
    <row r="61" spans="2:11">
      <c r="B61" s="38"/>
      <c r="C61" s="38"/>
      <c r="D61" s="39"/>
      <c r="E61" s="38"/>
      <c r="F61" s="39"/>
      <c r="G61" s="79"/>
      <c r="H61" s="78"/>
      <c r="K61" s="8"/>
    </row>
    <row r="62" spans="2:11">
      <c r="B62" s="38"/>
      <c r="C62" s="38"/>
      <c r="D62" s="39"/>
      <c r="E62" s="38"/>
      <c r="F62" s="39"/>
      <c r="G62" s="79"/>
      <c r="H62" s="78"/>
      <c r="K62" s="8"/>
    </row>
    <row r="63" spans="2:11">
      <c r="B63" s="38"/>
      <c r="C63" s="38"/>
      <c r="D63" s="39"/>
      <c r="E63" s="38"/>
      <c r="F63" s="39"/>
      <c r="G63" s="79"/>
      <c r="H63" s="78"/>
      <c r="K63" s="8"/>
    </row>
    <row r="64" spans="2:11">
      <c r="B64" s="38"/>
      <c r="C64" s="38"/>
      <c r="D64" s="39"/>
      <c r="E64" s="38"/>
      <c r="F64" s="39"/>
      <c r="G64" s="79"/>
      <c r="H64" s="78"/>
      <c r="K64" s="8"/>
    </row>
    <row r="65" spans="2:11">
      <c r="B65" s="38"/>
      <c r="C65" s="38"/>
      <c r="D65" s="39"/>
      <c r="E65" s="38"/>
      <c r="F65" s="39"/>
      <c r="G65" s="79"/>
      <c r="H65" s="78"/>
      <c r="K65" s="8"/>
    </row>
    <row r="66" spans="2:11">
      <c r="B66" s="38"/>
      <c r="C66" s="38"/>
      <c r="D66" s="39"/>
      <c r="E66" s="38"/>
      <c r="F66" s="39"/>
      <c r="G66" s="79"/>
      <c r="H66" s="78"/>
      <c r="K66" s="8"/>
    </row>
    <row r="67" spans="2:11">
      <c r="B67" s="38"/>
      <c r="C67" s="38"/>
      <c r="D67" s="39"/>
      <c r="E67" s="38"/>
      <c r="F67" s="39"/>
      <c r="G67" s="79"/>
      <c r="H67" s="78"/>
      <c r="K67" s="8"/>
    </row>
    <row r="68" spans="2:11">
      <c r="B68" s="38"/>
      <c r="C68" s="38"/>
      <c r="D68" s="39"/>
      <c r="E68" s="38"/>
      <c r="F68" s="39"/>
      <c r="G68" s="79"/>
      <c r="H68" s="78"/>
      <c r="K68" s="8"/>
    </row>
    <row r="69" spans="2:11">
      <c r="B69" s="38"/>
      <c r="C69" s="38"/>
      <c r="D69" s="39"/>
      <c r="E69" s="38"/>
      <c r="F69" s="39"/>
      <c r="G69" s="79"/>
      <c r="H69" s="78"/>
      <c r="K69" s="8"/>
    </row>
    <row r="70" spans="2:11">
      <c r="B70" s="38"/>
      <c r="C70" s="38"/>
      <c r="D70" s="39"/>
      <c r="E70" s="38"/>
      <c r="F70" s="39"/>
      <c r="G70" s="79"/>
      <c r="H70" s="78"/>
      <c r="K70" s="8"/>
    </row>
    <row r="71" spans="2:11">
      <c r="B71" s="38"/>
      <c r="C71" s="38"/>
      <c r="D71" s="39"/>
      <c r="E71" s="38"/>
      <c r="F71" s="39"/>
      <c r="G71" s="79"/>
      <c r="H71" s="78"/>
      <c r="K71" s="8"/>
    </row>
    <row r="72" spans="2:11">
      <c r="B72" s="38"/>
      <c r="C72" s="38"/>
      <c r="D72" s="39"/>
      <c r="E72" s="38"/>
      <c r="F72" s="39"/>
      <c r="G72" s="79"/>
      <c r="H72" s="78"/>
      <c r="K72" s="8"/>
    </row>
    <row r="73" spans="2:11">
      <c r="B73" s="38"/>
      <c r="C73" s="38"/>
      <c r="D73" s="39"/>
      <c r="E73" s="38"/>
      <c r="F73" s="39"/>
      <c r="G73" s="79"/>
      <c r="H73" s="78"/>
    </row>
    <row r="74" spans="2:11">
      <c r="B74" s="38"/>
      <c r="C74" s="38"/>
      <c r="D74" s="39"/>
      <c r="E74" s="38"/>
      <c r="F74" s="39"/>
      <c r="G74" s="79"/>
      <c r="H74" s="78"/>
    </row>
    <row r="75" spans="2:11">
      <c r="B75" s="38"/>
      <c r="C75" s="38"/>
      <c r="D75" s="39"/>
      <c r="E75" s="38"/>
      <c r="F75" s="39"/>
      <c r="G75" s="79"/>
      <c r="H75" s="78"/>
    </row>
    <row r="76" spans="2:11">
      <c r="B76" s="38"/>
      <c r="C76" s="38"/>
      <c r="D76" s="39"/>
      <c r="E76" s="38"/>
      <c r="F76" s="39"/>
      <c r="G76" s="79"/>
      <c r="H76" s="78"/>
    </row>
    <row r="77" spans="2:11">
      <c r="B77" s="38"/>
      <c r="C77" s="38"/>
      <c r="D77" s="39"/>
      <c r="E77" s="38"/>
      <c r="F77" s="39"/>
      <c r="G77" s="79"/>
      <c r="H77" s="78"/>
    </row>
    <row r="78" spans="2:11">
      <c r="B78" s="38"/>
      <c r="C78" s="38"/>
      <c r="D78" s="39"/>
      <c r="E78" s="38"/>
      <c r="F78" s="39"/>
      <c r="G78" s="79"/>
      <c r="H78" s="78"/>
    </row>
    <row r="79" spans="2:11">
      <c r="B79" s="38"/>
      <c r="C79" s="38"/>
      <c r="D79" s="39"/>
      <c r="E79" s="38"/>
      <c r="F79" s="39"/>
      <c r="G79" s="79"/>
      <c r="H79" s="78"/>
    </row>
    <row r="80" spans="2:11">
      <c r="B80" s="38"/>
      <c r="C80" s="38"/>
      <c r="D80" s="39"/>
      <c r="E80" s="38"/>
      <c r="F80" s="39"/>
      <c r="G80" s="79"/>
      <c r="H80" s="78"/>
    </row>
    <row r="81" spans="2:8">
      <c r="B81" s="38"/>
      <c r="C81" s="38"/>
      <c r="D81" s="39"/>
      <c r="E81" s="38"/>
      <c r="F81" s="39"/>
      <c r="G81" s="79"/>
      <c r="H81" s="78"/>
    </row>
    <row r="82" spans="2:8">
      <c r="B82" s="38"/>
      <c r="C82" s="38"/>
      <c r="D82" s="39"/>
      <c r="E82" s="38"/>
      <c r="F82" s="39"/>
      <c r="G82" s="79"/>
    </row>
  </sheetData>
  <mergeCells count="14">
    <mergeCell ref="J5:K5"/>
    <mergeCell ref="E5:G5"/>
    <mergeCell ref="D23:D24"/>
    <mergeCell ref="D19:D20"/>
    <mergeCell ref="D15:D16"/>
    <mergeCell ref="D11:D12"/>
    <mergeCell ref="B5:D5"/>
    <mergeCell ref="B6:C6"/>
    <mergeCell ref="F7:F8"/>
    <mergeCell ref="D13:D14"/>
    <mergeCell ref="D17:D18"/>
    <mergeCell ref="D21:D22"/>
    <mergeCell ref="D7:D8"/>
    <mergeCell ref="D9:D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I20" sqref="I20"/>
    </sheetView>
  </sheetViews>
  <sheetFormatPr baseColWidth="10" defaultRowHeight="15"/>
  <cols>
    <col min="1" max="1" width="1" style="1" customWidth="1"/>
    <col min="2" max="2" width="30.140625" style="1" customWidth="1"/>
    <col min="3" max="3" width="4.28515625" style="1" customWidth="1"/>
    <col min="4" max="4" width="4" style="2" bestFit="1" customWidth="1"/>
    <col min="5" max="5" width="23.5703125" style="1" customWidth="1"/>
    <col min="6" max="6" width="4" style="2" customWidth="1"/>
    <col min="7" max="7" width="28.28515625" style="24" customWidth="1"/>
    <col min="8" max="8" width="1.5703125" style="1" customWidth="1"/>
    <col min="9" max="9" width="13.42578125" style="2" customWidth="1"/>
    <col min="10" max="10" width="20.140625" style="1" customWidth="1"/>
    <col min="11" max="11" width="8.5703125" style="1" customWidth="1"/>
    <col min="12" max="16384" width="11.42578125" style="1"/>
  </cols>
  <sheetData>
    <row r="1" spans="2:11">
      <c r="B1" s="1" t="s">
        <v>30</v>
      </c>
      <c r="E1" s="10"/>
      <c r="F1" s="33" t="s">
        <v>147</v>
      </c>
    </row>
    <row r="2" spans="2:11">
      <c r="E2" s="3"/>
    </row>
    <row r="3" spans="2:11">
      <c r="B3" s="23" t="s">
        <v>146</v>
      </c>
      <c r="C3" s="4"/>
      <c r="H3" s="5" t="s">
        <v>32</v>
      </c>
    </row>
    <row r="5" spans="2:11">
      <c r="B5" s="140" t="s">
        <v>29</v>
      </c>
      <c r="C5" s="140"/>
      <c r="D5" s="140"/>
      <c r="E5" s="135" t="s">
        <v>7</v>
      </c>
      <c r="F5" s="141"/>
      <c r="G5" s="137"/>
      <c r="I5" s="135" t="s">
        <v>8</v>
      </c>
      <c r="J5" s="141"/>
      <c r="K5" s="137"/>
    </row>
    <row r="6" spans="2:11">
      <c r="B6" s="142" t="s">
        <v>28</v>
      </c>
      <c r="C6" s="137"/>
      <c r="D6" s="6" t="s">
        <v>31</v>
      </c>
      <c r="E6" s="32" t="s">
        <v>28</v>
      </c>
      <c r="F6" s="6" t="s">
        <v>31</v>
      </c>
      <c r="G6" s="25" t="s">
        <v>83</v>
      </c>
      <c r="I6" s="32" t="s">
        <v>28</v>
      </c>
      <c r="J6" s="6" t="s">
        <v>83</v>
      </c>
      <c r="K6" s="6" t="s">
        <v>149</v>
      </c>
    </row>
    <row r="7" spans="2:11">
      <c r="B7" s="143" t="s">
        <v>94</v>
      </c>
      <c r="C7" s="152"/>
      <c r="D7" s="133">
        <v>1</v>
      </c>
      <c r="E7" s="83" t="s">
        <v>9</v>
      </c>
      <c r="F7" s="133">
        <v>1</v>
      </c>
      <c r="G7" s="85">
        <f>IF((C10+C12+C14+C16+C18+C20+C22+C24)&gt;0,G9*9800/(1+(D7-1)/3),C8*9800/(1+(D7-1)/3))</f>
        <v>0</v>
      </c>
      <c r="I7" s="51" t="s">
        <v>10</v>
      </c>
      <c r="J7" s="48">
        <f>2*G7/F7</f>
        <v>0</v>
      </c>
      <c r="K7" s="92">
        <f>IF(G$7=0,0,(J7/SUM(J$7:J$19)*100)/(J$7/SUM(J$7:J$19)*100))</f>
        <v>0</v>
      </c>
    </row>
    <row r="8" spans="2:11">
      <c r="B8" s="11" t="s">
        <v>140</v>
      </c>
      <c r="C8" s="46">
        <v>0</v>
      </c>
      <c r="D8" s="134"/>
      <c r="E8" s="84"/>
      <c r="F8" s="134"/>
      <c r="G8" s="86"/>
      <c r="I8" s="49" t="s">
        <v>11</v>
      </c>
      <c r="J8" s="50">
        <f>2*G10/F10</f>
        <v>0</v>
      </c>
      <c r="K8" s="92">
        <f t="shared" ref="K8:K19" si="0">IF(G$7=0,0,(J8/SUM(J$7:J$19)*100)/(J$7/SUM(J$7:J$19)*100))</f>
        <v>0</v>
      </c>
    </row>
    <row r="9" spans="2:11">
      <c r="B9" s="12" t="s">
        <v>96</v>
      </c>
      <c r="C9" s="15"/>
      <c r="D9" s="133">
        <v>2</v>
      </c>
      <c r="E9" s="77" t="s">
        <v>95</v>
      </c>
      <c r="F9" s="68"/>
      <c r="G9" s="67">
        <f>(G11+C10)*4</f>
        <v>0</v>
      </c>
      <c r="I9" s="49" t="s">
        <v>49</v>
      </c>
      <c r="J9" s="50">
        <f>2*G12/F12+2*G10/F10</f>
        <v>0</v>
      </c>
      <c r="K9" s="92">
        <f t="shared" si="0"/>
        <v>0</v>
      </c>
    </row>
    <row r="10" spans="2:11">
      <c r="B10" s="14" t="s">
        <v>140</v>
      </c>
      <c r="C10" s="45">
        <v>0</v>
      </c>
      <c r="D10" s="134"/>
      <c r="E10" s="68" t="s">
        <v>98</v>
      </c>
      <c r="F10" s="81">
        <v>1</v>
      </c>
      <c r="G10" s="67">
        <f>IF((C12+C14+C16+C18+C20+C22+C24)&gt;0,G11*39000/(1+(D9-1)/3),C10*39000/(1+(D9-1)/3))</f>
        <v>0</v>
      </c>
      <c r="I10" s="49" t="s">
        <v>18</v>
      </c>
      <c r="J10" s="50">
        <f>2*G14/F14+2*G12/F12</f>
        <v>0</v>
      </c>
      <c r="K10" s="92">
        <f t="shared" si="0"/>
        <v>0</v>
      </c>
    </row>
    <row r="11" spans="2:11">
      <c r="B11" s="83" t="s">
        <v>99</v>
      </c>
      <c r="C11" s="16"/>
      <c r="D11" s="133">
        <v>1</v>
      </c>
      <c r="E11" s="71" t="s">
        <v>97</v>
      </c>
      <c r="F11" s="83"/>
      <c r="G11" s="85">
        <f>(G13+C12)*4</f>
        <v>0</v>
      </c>
      <c r="I11" s="49" t="s">
        <v>17</v>
      </c>
      <c r="J11" s="50">
        <f>2*G16/F16+2*G14/F14</f>
        <v>0</v>
      </c>
      <c r="K11" s="92">
        <f t="shared" si="0"/>
        <v>0</v>
      </c>
    </row>
    <row r="12" spans="2:11">
      <c r="B12" s="17" t="s">
        <v>140</v>
      </c>
      <c r="C12" s="45">
        <v>0</v>
      </c>
      <c r="D12" s="134"/>
      <c r="E12" s="71" t="s">
        <v>101</v>
      </c>
      <c r="F12" s="81">
        <v>1</v>
      </c>
      <c r="G12" s="85">
        <f>IF((C14+C16+C18+C20+C22+C24)&gt;0,G13*160000/(1+(D11-1)/3),C12*160000/(1+(D11-1)/3))</f>
        <v>0</v>
      </c>
      <c r="I12" s="49" t="s">
        <v>13</v>
      </c>
      <c r="J12" s="50">
        <f>2*G18/F18</f>
        <v>0</v>
      </c>
      <c r="K12" s="92">
        <f t="shared" si="0"/>
        <v>0</v>
      </c>
    </row>
    <row r="13" spans="2:11">
      <c r="B13" s="12" t="s">
        <v>102</v>
      </c>
      <c r="C13" s="13"/>
      <c r="D13" s="133">
        <v>1</v>
      </c>
      <c r="E13" s="74" t="s">
        <v>100</v>
      </c>
      <c r="F13" s="68"/>
      <c r="G13" s="67">
        <f>(G15+C14)*4</f>
        <v>0</v>
      </c>
      <c r="I13" s="49" t="s">
        <v>27</v>
      </c>
      <c r="J13" s="50">
        <f>2*G18/F18+2*G16/F16</f>
        <v>0</v>
      </c>
      <c r="K13" s="92">
        <f t="shared" si="0"/>
        <v>0</v>
      </c>
    </row>
    <row r="14" spans="2:11">
      <c r="B14" s="14" t="s">
        <v>140</v>
      </c>
      <c r="C14" s="45">
        <v>0</v>
      </c>
      <c r="D14" s="134"/>
      <c r="E14" s="74" t="s">
        <v>104</v>
      </c>
      <c r="F14" s="81">
        <v>1</v>
      </c>
      <c r="G14" s="67">
        <f>IF((C16+C18+C20+C22+C24)&gt;0,G15*630000/(1+(D13-1)/3),C14*630000/(1+(D13-1)/3))</f>
        <v>0</v>
      </c>
      <c r="I14" s="49" t="s">
        <v>57</v>
      </c>
      <c r="J14" s="50">
        <f>2*G20/F20</f>
        <v>0</v>
      </c>
      <c r="K14" s="92">
        <f t="shared" si="0"/>
        <v>0</v>
      </c>
    </row>
    <row r="15" spans="2:11">
      <c r="B15" s="82" t="s">
        <v>105</v>
      </c>
      <c r="C15" s="16"/>
      <c r="D15" s="133">
        <v>1</v>
      </c>
      <c r="E15" s="71" t="s">
        <v>103</v>
      </c>
      <c r="F15" s="83"/>
      <c r="G15" s="85">
        <f>(G17+C16)*4</f>
        <v>0</v>
      </c>
      <c r="I15" s="49" t="s">
        <v>61</v>
      </c>
      <c r="J15" s="50">
        <f>2*G20/F20</f>
        <v>0</v>
      </c>
      <c r="K15" s="92">
        <f t="shared" si="0"/>
        <v>0</v>
      </c>
    </row>
    <row r="16" spans="2:11">
      <c r="B16" s="17" t="s">
        <v>140</v>
      </c>
      <c r="C16" s="45">
        <v>0</v>
      </c>
      <c r="D16" s="134"/>
      <c r="E16" s="71" t="s">
        <v>107</v>
      </c>
      <c r="F16" s="81">
        <v>1</v>
      </c>
      <c r="G16" s="85">
        <f>IF((C18+C20+C22+C24)&gt;0,G17*2500000/(1+(D15-1)/3),C16*2500000/(1+(D15-1)/3))</f>
        <v>0</v>
      </c>
      <c r="I16" s="49" t="s">
        <v>78</v>
      </c>
      <c r="J16" s="50">
        <f>2*G22/F22</f>
        <v>0</v>
      </c>
      <c r="K16" s="92">
        <f t="shared" si="0"/>
        <v>0</v>
      </c>
    </row>
    <row r="17" spans="2:11">
      <c r="B17" s="93" t="s">
        <v>109</v>
      </c>
      <c r="C17" s="109"/>
      <c r="D17" s="131">
        <v>1</v>
      </c>
      <c r="E17" s="99" t="s">
        <v>106</v>
      </c>
      <c r="F17" s="95"/>
      <c r="G17" s="96">
        <f>(G19+C18)*4</f>
        <v>0</v>
      </c>
      <c r="I17" s="49" t="s">
        <v>65</v>
      </c>
      <c r="J17" s="50">
        <f>2*G22/F22</f>
        <v>0</v>
      </c>
      <c r="K17" s="92">
        <f t="shared" si="0"/>
        <v>0</v>
      </c>
    </row>
    <row r="18" spans="2:11">
      <c r="B18" s="97" t="s">
        <v>140</v>
      </c>
      <c r="C18" s="98">
        <v>0</v>
      </c>
      <c r="D18" s="132"/>
      <c r="E18" s="99" t="s">
        <v>75</v>
      </c>
      <c r="F18" s="100">
        <v>1</v>
      </c>
      <c r="G18" s="96">
        <f>IF((C20+C22+C24)&gt;0,G19*10000000/(1+(D17-1)/3),C18*10000000/(1+(D17-1)/3))</f>
        <v>0</v>
      </c>
      <c r="I18" s="49" t="s">
        <v>93</v>
      </c>
      <c r="J18" s="50">
        <f>2*G24/F24</f>
        <v>0</v>
      </c>
      <c r="K18" s="92">
        <f t="shared" si="0"/>
        <v>0</v>
      </c>
    </row>
    <row r="19" spans="2:11">
      <c r="B19" s="104" t="s">
        <v>110</v>
      </c>
      <c r="C19" s="110"/>
      <c r="D19" s="131">
        <v>1</v>
      </c>
      <c r="E19" s="103" t="s">
        <v>108</v>
      </c>
      <c r="F19" s="104"/>
      <c r="G19" s="107">
        <f>(G21+C20)*4</f>
        <v>0</v>
      </c>
      <c r="I19" s="49" t="s">
        <v>70</v>
      </c>
      <c r="J19" s="50">
        <f>2*G24/F24</f>
        <v>0</v>
      </c>
      <c r="K19" s="92">
        <f t="shared" si="0"/>
        <v>0</v>
      </c>
    </row>
    <row r="20" spans="2:11">
      <c r="B20" s="106" t="s">
        <v>140</v>
      </c>
      <c r="C20" s="98">
        <v>0</v>
      </c>
      <c r="D20" s="132"/>
      <c r="E20" s="103" t="s">
        <v>112</v>
      </c>
      <c r="F20" s="100">
        <v>1</v>
      </c>
      <c r="G20" s="107">
        <f>IF((C22+C24)&gt;0,G21*40000000/(1+(D19-1)/3),C20*40000000/(1+(D19-1)/3))</f>
        <v>0</v>
      </c>
      <c r="I20" s="24"/>
      <c r="J20" s="8"/>
    </row>
    <row r="21" spans="2:11">
      <c r="B21" s="93" t="s">
        <v>117</v>
      </c>
      <c r="C21" s="111"/>
      <c r="D21" s="131">
        <v>1</v>
      </c>
      <c r="E21" s="95" t="s">
        <v>111</v>
      </c>
      <c r="F21" s="95"/>
      <c r="G21" s="96">
        <f>(G23+C22)*4</f>
        <v>0</v>
      </c>
      <c r="J21" s="8"/>
    </row>
    <row r="22" spans="2:11">
      <c r="B22" s="97" t="s">
        <v>140</v>
      </c>
      <c r="C22" s="98">
        <v>0</v>
      </c>
      <c r="D22" s="132"/>
      <c r="E22" s="99" t="s">
        <v>90</v>
      </c>
      <c r="F22" s="100">
        <v>1</v>
      </c>
      <c r="G22" s="96">
        <f>IF(C24&gt;0,G23*160000000/(1+(D21-1)/3),C22*160000000/(1+(D21-1)/3))</f>
        <v>0</v>
      </c>
      <c r="J22" s="8"/>
    </row>
    <row r="23" spans="2:11">
      <c r="B23" s="101" t="s">
        <v>116</v>
      </c>
      <c r="C23" s="112"/>
      <c r="D23" s="131">
        <v>1</v>
      </c>
      <c r="E23" s="104" t="s">
        <v>91</v>
      </c>
      <c r="F23" s="104"/>
      <c r="G23" s="107">
        <f>C24*4</f>
        <v>0</v>
      </c>
      <c r="J23" s="8"/>
    </row>
    <row r="24" spans="2:11">
      <c r="B24" s="113" t="s">
        <v>140</v>
      </c>
      <c r="C24" s="114">
        <v>0</v>
      </c>
      <c r="D24" s="132"/>
      <c r="E24" s="103" t="s">
        <v>92</v>
      </c>
      <c r="F24" s="100">
        <v>1</v>
      </c>
      <c r="G24" s="115">
        <f>IF(C24&gt;0,C24*640000000/(1+(D23-1)/3),0)</f>
        <v>0</v>
      </c>
      <c r="J24" s="8"/>
    </row>
    <row r="25" spans="2:11">
      <c r="J25" s="8"/>
    </row>
    <row r="26" spans="2:11">
      <c r="J26" s="8"/>
    </row>
    <row r="27" spans="2:11">
      <c r="J27" s="8"/>
    </row>
  </sheetData>
  <mergeCells count="15">
    <mergeCell ref="D23:D24"/>
    <mergeCell ref="D21:D22"/>
    <mergeCell ref="D17:D18"/>
    <mergeCell ref="D13:D14"/>
    <mergeCell ref="I5:K5"/>
    <mergeCell ref="D9:D10"/>
    <mergeCell ref="D11:D12"/>
    <mergeCell ref="D15:D16"/>
    <mergeCell ref="D19:D20"/>
    <mergeCell ref="B5:D5"/>
    <mergeCell ref="E5:G5"/>
    <mergeCell ref="B6:C6"/>
    <mergeCell ref="B7:C7"/>
    <mergeCell ref="D7:D8"/>
    <mergeCell ref="F7:F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K56"/>
  <sheetViews>
    <sheetView workbookViewId="0">
      <selection activeCell="K7" sqref="K7:K19"/>
    </sheetView>
  </sheetViews>
  <sheetFormatPr baseColWidth="10" defaultRowHeight="15"/>
  <cols>
    <col min="1" max="1" width="1.140625" style="1" customWidth="1"/>
    <col min="2" max="2" width="30.140625" style="1" customWidth="1"/>
    <col min="3" max="3" width="4" style="1" customWidth="1"/>
    <col min="4" max="4" width="4" style="2" bestFit="1" customWidth="1"/>
    <col min="5" max="5" width="23.5703125" style="1" customWidth="1"/>
    <col min="6" max="6" width="4" style="2" customWidth="1"/>
    <col min="7" max="7" width="24.140625" style="24" customWidth="1"/>
    <col min="8" max="8" width="1" style="1" customWidth="1"/>
    <col min="9" max="9" width="13.42578125" style="2" customWidth="1"/>
    <col min="10" max="10" width="25.42578125" style="1" customWidth="1"/>
    <col min="11" max="11" width="8.5703125" style="1" customWidth="1"/>
    <col min="12" max="16384" width="11.42578125" style="1"/>
  </cols>
  <sheetData>
    <row r="1" spans="2:11">
      <c r="B1" s="1" t="s">
        <v>30</v>
      </c>
      <c r="E1" s="10"/>
      <c r="F1" s="33" t="s">
        <v>145</v>
      </c>
    </row>
    <row r="2" spans="2:11">
      <c r="E2" s="3"/>
    </row>
    <row r="3" spans="2:11">
      <c r="B3" s="23" t="s">
        <v>146</v>
      </c>
      <c r="C3" s="4"/>
      <c r="H3" s="5" t="s">
        <v>32</v>
      </c>
    </row>
    <row r="5" spans="2:11">
      <c r="B5" s="140" t="s">
        <v>29</v>
      </c>
      <c r="C5" s="140"/>
      <c r="D5" s="140"/>
      <c r="E5" s="135" t="s">
        <v>7</v>
      </c>
      <c r="F5" s="141"/>
      <c r="G5" s="137"/>
      <c r="I5" s="135" t="s">
        <v>8</v>
      </c>
      <c r="J5" s="136"/>
      <c r="K5" s="137"/>
    </row>
    <row r="6" spans="2:11">
      <c r="B6" s="142" t="s">
        <v>28</v>
      </c>
      <c r="C6" s="137"/>
      <c r="D6" s="6" t="s">
        <v>31</v>
      </c>
      <c r="E6" s="47" t="s">
        <v>28</v>
      </c>
      <c r="F6" s="6" t="s">
        <v>31</v>
      </c>
      <c r="G6" s="25" t="s">
        <v>83</v>
      </c>
      <c r="I6" s="47" t="s">
        <v>28</v>
      </c>
      <c r="J6" s="6" t="s">
        <v>83</v>
      </c>
      <c r="K6" s="6" t="s">
        <v>149</v>
      </c>
    </row>
    <row r="7" spans="2:11">
      <c r="B7" s="75" t="s">
        <v>2</v>
      </c>
      <c r="C7" s="16"/>
      <c r="D7" s="133">
        <v>1</v>
      </c>
      <c r="E7" s="72" t="s">
        <v>19</v>
      </c>
      <c r="F7" s="133">
        <v>1</v>
      </c>
      <c r="G7" s="65">
        <f>IF((C10+C12+C14+C16+C18+C20+C22+C24)&gt;0,G9*9800/(1+(D7-1)/3),C8*9800/(1+(D7-1)/3))</f>
        <v>2508800</v>
      </c>
      <c r="I7" s="51" t="s">
        <v>10</v>
      </c>
      <c r="J7" s="48">
        <f>2*G7/F7</f>
        <v>5017600</v>
      </c>
      <c r="K7" s="92">
        <f>IF(G$7=0,0,(J7/SUM(J$7:J$19)*100)/(J$7/SUM(J$7:J$19)*100))</f>
        <v>1</v>
      </c>
    </row>
    <row r="8" spans="2:11">
      <c r="B8" s="11" t="s">
        <v>140</v>
      </c>
      <c r="C8" s="31">
        <v>0</v>
      </c>
      <c r="D8" s="134"/>
      <c r="E8" s="73"/>
      <c r="F8" s="134"/>
      <c r="G8" s="66"/>
      <c r="I8" s="51" t="s">
        <v>14</v>
      </c>
      <c r="J8" s="48">
        <f>2*G7/F7+2*G10/F10</f>
        <v>10009600</v>
      </c>
      <c r="K8" s="92">
        <f t="shared" ref="K8:K19" si="0">IF(G$7=0,0,(J8/SUM(J$7:J$19)*100)/(J$7/SUM(J$7:J$19)*100))</f>
        <v>1.9948979591836733</v>
      </c>
    </row>
    <row r="9" spans="2:11">
      <c r="B9" s="12" t="s">
        <v>3</v>
      </c>
      <c r="C9" s="13"/>
      <c r="D9" s="133">
        <v>1</v>
      </c>
      <c r="E9" s="90" t="s">
        <v>21</v>
      </c>
      <c r="F9" s="68"/>
      <c r="G9" s="67">
        <f>(G11+C10)*4</f>
        <v>256</v>
      </c>
      <c r="I9" s="49" t="s">
        <v>11</v>
      </c>
      <c r="J9" s="50">
        <f>2*G10/F10</f>
        <v>4992000</v>
      </c>
      <c r="K9" s="92">
        <f t="shared" si="0"/>
        <v>0.99489795918367341</v>
      </c>
    </row>
    <row r="10" spans="2:11">
      <c r="B10" s="14" t="s">
        <v>140</v>
      </c>
      <c r="C10" s="31">
        <v>0</v>
      </c>
      <c r="D10" s="134"/>
      <c r="E10" s="68" t="s">
        <v>20</v>
      </c>
      <c r="F10" s="69">
        <v>1</v>
      </c>
      <c r="G10" s="67">
        <f>IF((C12+C14+C16+C18+C20+C22+C24)&gt;0,G11*39000/(1+(D9-1)/3),C10*39000/(1+(D9-1)/3))</f>
        <v>2496000</v>
      </c>
      <c r="I10" s="49" t="s">
        <v>16</v>
      </c>
      <c r="J10" s="50">
        <f>2*G12/F12+2*G14/F14</f>
        <v>10160000</v>
      </c>
      <c r="K10" s="92">
        <f t="shared" si="0"/>
        <v>2.0248724489795915</v>
      </c>
    </row>
    <row r="11" spans="2:11">
      <c r="B11" s="75" t="s">
        <v>4</v>
      </c>
      <c r="C11" s="16"/>
      <c r="D11" s="133">
        <v>1</v>
      </c>
      <c r="E11" s="71" t="s">
        <v>22</v>
      </c>
      <c r="F11" s="72"/>
      <c r="G11" s="65">
        <f>(G13+C12)*4</f>
        <v>64</v>
      </c>
      <c r="I11" s="49" t="s">
        <v>15</v>
      </c>
      <c r="J11" s="50">
        <f>2*G12/F12</f>
        <v>5120000</v>
      </c>
      <c r="K11" s="92">
        <f t="shared" si="0"/>
        <v>1.0204081632653061</v>
      </c>
    </row>
    <row r="12" spans="2:11">
      <c r="B12" s="17" t="s">
        <v>140</v>
      </c>
      <c r="C12" s="31">
        <v>0</v>
      </c>
      <c r="D12" s="134"/>
      <c r="E12" s="71" t="s">
        <v>26</v>
      </c>
      <c r="F12" s="69">
        <v>1</v>
      </c>
      <c r="G12" s="65">
        <f>IF((C14+C16+C18+C20+C22+C24)&gt;0,G13*160000/(1+(D11-1)/3),C12*160000/(1+(D11-1)/3))</f>
        <v>2560000</v>
      </c>
      <c r="I12" s="49" t="s">
        <v>18</v>
      </c>
      <c r="J12" s="50">
        <f>2*G14/F14</f>
        <v>5040000</v>
      </c>
      <c r="K12" s="92">
        <f t="shared" si="0"/>
        <v>1.0044642857142858</v>
      </c>
    </row>
    <row r="13" spans="2:11">
      <c r="B13" s="12" t="s">
        <v>5</v>
      </c>
      <c r="C13" s="13"/>
      <c r="D13" s="133">
        <v>1</v>
      </c>
      <c r="E13" s="74" t="s">
        <v>33</v>
      </c>
      <c r="F13" s="68"/>
      <c r="G13" s="67">
        <f>(G15+C14)*4</f>
        <v>16</v>
      </c>
      <c r="I13" s="49" t="s">
        <v>13</v>
      </c>
      <c r="J13" s="50">
        <f>2*G16/F16</f>
        <v>5000000</v>
      </c>
      <c r="K13" s="92">
        <f t="shared" si="0"/>
        <v>0.99649234693877564</v>
      </c>
    </row>
    <row r="14" spans="2:11">
      <c r="B14" s="14" t="s">
        <v>140</v>
      </c>
      <c r="C14" s="31">
        <v>0</v>
      </c>
      <c r="D14" s="134"/>
      <c r="E14" s="68" t="s">
        <v>23</v>
      </c>
      <c r="F14" s="69">
        <v>1</v>
      </c>
      <c r="G14" s="67">
        <f>IF((C16+C18+C20+C22+C24)&gt;0,G15*630000/(1+(D13-1)/3),C14*630000/(1+(D13-1)/3))</f>
        <v>2520000</v>
      </c>
      <c r="I14" s="49" t="s">
        <v>12</v>
      </c>
      <c r="J14" s="50">
        <f>2*G16/F16+2*G18/F18</f>
        <v>5000000</v>
      </c>
      <c r="K14" s="92">
        <f t="shared" si="0"/>
        <v>0.99649234693877564</v>
      </c>
    </row>
    <row r="15" spans="2:11">
      <c r="B15" s="75" t="s">
        <v>6</v>
      </c>
      <c r="C15" s="16"/>
      <c r="D15" s="133">
        <v>1</v>
      </c>
      <c r="E15" s="71" t="s">
        <v>24</v>
      </c>
      <c r="F15" s="72"/>
      <c r="G15" s="65">
        <f>(G17+C16)*4</f>
        <v>4</v>
      </c>
      <c r="I15" s="49" t="s">
        <v>56</v>
      </c>
      <c r="J15" s="50">
        <f>2*G18/F18+2*G20/F20</f>
        <v>0</v>
      </c>
      <c r="K15" s="92">
        <f t="shared" si="0"/>
        <v>0</v>
      </c>
    </row>
    <row r="16" spans="2:11">
      <c r="B16" s="17" t="s">
        <v>140</v>
      </c>
      <c r="C16" s="31">
        <v>1</v>
      </c>
      <c r="D16" s="134"/>
      <c r="E16" s="71" t="s">
        <v>25</v>
      </c>
      <c r="F16" s="69">
        <v>1</v>
      </c>
      <c r="G16" s="65">
        <f>IF((C18+C20+C22+C24)&gt;0,G17*2500000/(1+(D15-1)/3),C16*2500000/(1+(D15-1)/3))</f>
        <v>2500000</v>
      </c>
      <c r="I16" s="49" t="s">
        <v>61</v>
      </c>
      <c r="J16" s="50">
        <f>2*G20/F20+2*G22/F22</f>
        <v>0</v>
      </c>
      <c r="K16" s="92">
        <f t="shared" si="0"/>
        <v>0</v>
      </c>
    </row>
    <row r="17" spans="2:11">
      <c r="B17" s="93" t="s">
        <v>88</v>
      </c>
      <c r="C17" s="109"/>
      <c r="D17" s="131">
        <v>1</v>
      </c>
      <c r="E17" s="99" t="s">
        <v>86</v>
      </c>
      <c r="F17" s="95"/>
      <c r="G17" s="96">
        <f>(G19+C18)*4</f>
        <v>0</v>
      </c>
      <c r="I17" s="49" t="s">
        <v>65</v>
      </c>
      <c r="J17" s="50">
        <f>2*G22/F22</f>
        <v>0</v>
      </c>
      <c r="K17" s="92">
        <f t="shared" si="0"/>
        <v>0</v>
      </c>
    </row>
    <row r="18" spans="2:11">
      <c r="B18" s="97" t="s">
        <v>140</v>
      </c>
      <c r="C18" s="116">
        <v>0</v>
      </c>
      <c r="D18" s="132"/>
      <c r="E18" s="95" t="s">
        <v>85</v>
      </c>
      <c r="F18" s="100">
        <v>1</v>
      </c>
      <c r="G18" s="96">
        <f>IF((C20+C22+C24)&gt;0,G19*10000000/(1+(D17-1)/3),C18*10000000/(1+(D17-1)/3))</f>
        <v>0</v>
      </c>
      <c r="I18" s="49" t="s">
        <v>70</v>
      </c>
      <c r="J18" s="50">
        <f>2*G24/F24</f>
        <v>0</v>
      </c>
      <c r="K18" s="92">
        <f t="shared" si="0"/>
        <v>0</v>
      </c>
    </row>
    <row r="19" spans="2:11">
      <c r="B19" s="101" t="s">
        <v>87</v>
      </c>
      <c r="C19" s="110"/>
      <c r="D19" s="131">
        <v>1</v>
      </c>
      <c r="E19" s="103" t="s">
        <v>84</v>
      </c>
      <c r="F19" s="104"/>
      <c r="G19" s="107">
        <f>(G21+C20)*4</f>
        <v>0</v>
      </c>
      <c r="I19" s="49" t="s">
        <v>93</v>
      </c>
      <c r="J19" s="50">
        <f>2*G24/F24</f>
        <v>0</v>
      </c>
      <c r="K19" s="92">
        <f t="shared" si="0"/>
        <v>0</v>
      </c>
    </row>
    <row r="20" spans="2:11">
      <c r="B20" s="106" t="s">
        <v>140</v>
      </c>
      <c r="C20" s="116">
        <v>0</v>
      </c>
      <c r="D20" s="132"/>
      <c r="E20" s="103" t="s">
        <v>60</v>
      </c>
      <c r="F20" s="100">
        <v>1</v>
      </c>
      <c r="G20" s="107">
        <f>IF((C22+C24)&gt;0,G21*40000000/(1+(D19-1)/3),C20*40000000/(1+(D19-1)/3))</f>
        <v>0</v>
      </c>
    </row>
    <row r="21" spans="2:11">
      <c r="B21" s="93" t="s">
        <v>114</v>
      </c>
      <c r="C21" s="109"/>
      <c r="D21" s="131">
        <v>1</v>
      </c>
      <c r="E21" s="95" t="s">
        <v>89</v>
      </c>
      <c r="F21" s="95"/>
      <c r="G21" s="96">
        <f>(G23+C22)*4</f>
        <v>0</v>
      </c>
    </row>
    <row r="22" spans="2:11">
      <c r="B22" s="97" t="s">
        <v>140</v>
      </c>
      <c r="C22" s="116">
        <v>0</v>
      </c>
      <c r="D22" s="132"/>
      <c r="E22" s="99" t="s">
        <v>64</v>
      </c>
      <c r="F22" s="100">
        <v>1</v>
      </c>
      <c r="G22" s="96">
        <f>IF(C24&gt;0,G23*160000000/(1+(D21-1)/3),C22*160000000/(1+(D21-1)/3))</f>
        <v>0</v>
      </c>
    </row>
    <row r="23" spans="2:11">
      <c r="B23" s="101" t="s">
        <v>115</v>
      </c>
      <c r="C23" s="110"/>
      <c r="D23" s="131">
        <v>1</v>
      </c>
      <c r="E23" s="104" t="s">
        <v>113</v>
      </c>
      <c r="F23" s="104"/>
      <c r="G23" s="107">
        <f>C24*4</f>
        <v>0</v>
      </c>
    </row>
    <row r="24" spans="2:11">
      <c r="B24" s="113" t="s">
        <v>140</v>
      </c>
      <c r="C24" s="116">
        <v>0</v>
      </c>
      <c r="D24" s="132"/>
      <c r="E24" s="103" t="s">
        <v>118</v>
      </c>
      <c r="F24" s="100">
        <v>1</v>
      </c>
      <c r="G24" s="115">
        <f>IF(C24&gt;0,C24*640000000/(1+(D23-1)/3),0)</f>
        <v>0</v>
      </c>
    </row>
    <row r="26" spans="2:11">
      <c r="J26" s="7"/>
    </row>
    <row r="27" spans="2:11">
      <c r="J27" s="7"/>
    </row>
    <row r="28" spans="2:11">
      <c r="J28" s="7"/>
    </row>
    <row r="29" spans="2:11">
      <c r="J29" s="8"/>
    </row>
    <row r="30" spans="2:11">
      <c r="J30" s="8"/>
    </row>
    <row r="31" spans="2:11">
      <c r="J31" s="8"/>
    </row>
    <row r="32" spans="2:11">
      <c r="J32" s="8"/>
    </row>
    <row r="33" spans="10:10">
      <c r="J33" s="8"/>
    </row>
    <row r="34" spans="10:10">
      <c r="J34" s="8"/>
    </row>
    <row r="35" spans="10:10">
      <c r="J35" s="8"/>
    </row>
    <row r="36" spans="10:10">
      <c r="J36" s="8"/>
    </row>
    <row r="37" spans="10:10">
      <c r="J37" s="8"/>
    </row>
    <row r="38" spans="10:10">
      <c r="J38" s="8"/>
    </row>
    <row r="39" spans="10:10">
      <c r="J39" s="8"/>
    </row>
    <row r="40" spans="10:10">
      <c r="J40" s="8"/>
    </row>
    <row r="41" spans="10:10">
      <c r="J41" s="8"/>
    </row>
    <row r="42" spans="10:10">
      <c r="J42" s="8"/>
    </row>
    <row r="43" spans="10:10">
      <c r="J43" s="8"/>
    </row>
    <row r="44" spans="10:10">
      <c r="J44" s="8"/>
    </row>
    <row r="45" spans="10:10">
      <c r="J45" s="8"/>
    </row>
    <row r="46" spans="10:10">
      <c r="J46" s="8"/>
    </row>
    <row r="47" spans="10:10">
      <c r="J47" s="8"/>
    </row>
    <row r="48" spans="10:10">
      <c r="J48" s="8"/>
    </row>
    <row r="49" spans="10:10">
      <c r="J49" s="8"/>
    </row>
    <row r="50" spans="10:10">
      <c r="J50" s="8"/>
    </row>
    <row r="51" spans="10:10">
      <c r="J51" s="8"/>
    </row>
    <row r="52" spans="10:10">
      <c r="J52" s="8"/>
    </row>
    <row r="53" spans="10:10">
      <c r="J53" s="8"/>
    </row>
    <row r="54" spans="10:10">
      <c r="J54" s="8"/>
    </row>
    <row r="55" spans="10:10">
      <c r="J55" s="8"/>
    </row>
    <row r="56" spans="10:10">
      <c r="J56" s="8"/>
    </row>
  </sheetData>
  <mergeCells count="14">
    <mergeCell ref="D23:D24"/>
    <mergeCell ref="I5:K5"/>
    <mergeCell ref="B6:C6"/>
    <mergeCell ref="B5:D5"/>
    <mergeCell ref="E5:G5"/>
    <mergeCell ref="D19:D20"/>
    <mergeCell ref="D15:D16"/>
    <mergeCell ref="F7:F8"/>
    <mergeCell ref="D11:D12"/>
    <mergeCell ref="D7:D8"/>
    <mergeCell ref="D21:D22"/>
    <mergeCell ref="D17:D18"/>
    <mergeCell ref="D13:D14"/>
    <mergeCell ref="D9:D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K34"/>
  <sheetViews>
    <sheetView workbookViewId="0">
      <selection activeCell="B8" sqref="B8"/>
    </sheetView>
  </sheetViews>
  <sheetFormatPr baseColWidth="10" defaultRowHeight="15"/>
  <cols>
    <col min="1" max="1" width="1.5703125" style="1" customWidth="1"/>
    <col min="2" max="2" width="27.7109375" style="1" customWidth="1"/>
    <col min="3" max="3" width="4.5703125" style="1" customWidth="1"/>
    <col min="4" max="4" width="4" style="2" bestFit="1" customWidth="1"/>
    <col min="5" max="5" width="23.5703125" style="1" customWidth="1"/>
    <col min="6" max="6" width="4" style="2" customWidth="1"/>
    <col min="7" max="7" width="25.5703125" style="24" customWidth="1"/>
    <col min="8" max="8" width="1" style="24" customWidth="1"/>
    <col min="9" max="9" width="13.85546875" style="1" customWidth="1"/>
    <col min="10" max="10" width="25.5703125" style="2" customWidth="1"/>
    <col min="11" max="11" width="8" style="1" customWidth="1"/>
    <col min="12" max="12" width="8.5703125" style="1" customWidth="1"/>
    <col min="13" max="16384" width="11.42578125" style="1"/>
  </cols>
  <sheetData>
    <row r="1" spans="2:11">
      <c r="B1" s="1" t="s">
        <v>30</v>
      </c>
      <c r="E1" s="10"/>
      <c r="G1" s="27" t="s">
        <v>44</v>
      </c>
      <c r="H1" s="27"/>
    </row>
    <row r="2" spans="2:11">
      <c r="E2" s="3"/>
    </row>
    <row r="3" spans="2:11">
      <c r="B3" s="23" t="s">
        <v>146</v>
      </c>
      <c r="C3" s="4"/>
      <c r="I3" s="5" t="s">
        <v>32</v>
      </c>
    </row>
    <row r="5" spans="2:11">
      <c r="B5" s="135" t="s">
        <v>29</v>
      </c>
      <c r="C5" s="141"/>
      <c r="D5" s="150"/>
      <c r="E5" s="135" t="s">
        <v>7</v>
      </c>
      <c r="F5" s="141"/>
      <c r="G5" s="150"/>
      <c r="H5" s="41"/>
      <c r="I5" s="135" t="s">
        <v>8</v>
      </c>
      <c r="J5" s="141"/>
      <c r="K5" s="150"/>
    </row>
    <row r="6" spans="2:11">
      <c r="B6" s="142" t="s">
        <v>28</v>
      </c>
      <c r="C6" s="137"/>
      <c r="D6" s="6" t="s">
        <v>31</v>
      </c>
      <c r="E6" s="119" t="s">
        <v>28</v>
      </c>
      <c r="F6" s="6" t="s">
        <v>31</v>
      </c>
      <c r="G6" s="25" t="s">
        <v>83</v>
      </c>
      <c r="H6" s="42"/>
      <c r="I6" s="119" t="s">
        <v>28</v>
      </c>
      <c r="J6" s="6" t="s">
        <v>83</v>
      </c>
      <c r="K6" s="6" t="s">
        <v>149</v>
      </c>
    </row>
    <row r="7" spans="2:11">
      <c r="B7" s="143" t="s">
        <v>150</v>
      </c>
      <c r="C7" s="155"/>
      <c r="D7" s="133">
        <v>1</v>
      </c>
      <c r="E7" s="145" t="s">
        <v>120</v>
      </c>
      <c r="F7" s="133">
        <v>1</v>
      </c>
      <c r="G7" s="147">
        <f>IF((C10+C12+C14+C16+C18+C20+C22+C24)&gt;0,G9*7300/(1+(D7-1)/3),C8*7300/(1+(D7-1)/3))</f>
        <v>0</v>
      </c>
      <c r="H7" s="42"/>
      <c r="I7" s="64" t="s">
        <v>10</v>
      </c>
      <c r="J7" s="123">
        <f>2*G7/F7</f>
        <v>0</v>
      </c>
      <c r="K7" s="92">
        <f>IF(G$7=0,0,(J7/SUM(J$7:J$16)*100)/(J$7/SUM(J$7:J$16)*100))</f>
        <v>0</v>
      </c>
    </row>
    <row r="8" spans="2:11">
      <c r="B8" s="11" t="s">
        <v>140</v>
      </c>
      <c r="C8" s="31">
        <v>0</v>
      </c>
      <c r="D8" s="154"/>
      <c r="E8" s="146"/>
      <c r="F8" s="154"/>
      <c r="G8" s="148"/>
      <c r="H8" s="42"/>
      <c r="I8" s="49" t="s">
        <v>11</v>
      </c>
      <c r="J8" s="50">
        <f>2*G7/F7</f>
        <v>0</v>
      </c>
      <c r="K8" s="92">
        <f t="shared" ref="K8:K16" si="0">IF(G$7=0,0,(J8/SUM(J$7:J$16)*100)/(J$7/SUM(J$7:J$16)*100))</f>
        <v>0</v>
      </c>
    </row>
    <row r="9" spans="2:11">
      <c r="B9" s="12" t="s">
        <v>151</v>
      </c>
      <c r="C9" s="29"/>
      <c r="D9" s="133">
        <v>1</v>
      </c>
      <c r="E9" s="77" t="s">
        <v>153</v>
      </c>
      <c r="F9" s="68"/>
      <c r="G9" s="67">
        <f>G11*4+C10*4</f>
        <v>0</v>
      </c>
      <c r="H9" s="42"/>
      <c r="I9" s="49" t="s">
        <v>14</v>
      </c>
      <c r="J9" s="50">
        <f>2*G12/F12</f>
        <v>0</v>
      </c>
      <c r="K9" s="92">
        <f t="shared" si="0"/>
        <v>0</v>
      </c>
    </row>
    <row r="10" spans="2:11">
      <c r="B10" s="14" t="s">
        <v>140</v>
      </c>
      <c r="C10" s="45">
        <v>0</v>
      </c>
      <c r="D10" s="154"/>
      <c r="E10" s="68" t="s">
        <v>159</v>
      </c>
      <c r="F10" s="118">
        <v>1</v>
      </c>
      <c r="G10" s="67">
        <f>IF((C12+C14+C16+C18+C20+C22+C24)&gt;0,G11*29000/(1+(D9-1)/3),C10*29000/(1+(D9-1)/3))</f>
        <v>0</v>
      </c>
      <c r="H10" s="42"/>
      <c r="I10" s="49" t="s">
        <v>16</v>
      </c>
      <c r="J10" s="50">
        <f>2*G10/F10</f>
        <v>0</v>
      </c>
      <c r="K10" s="92">
        <f t="shared" si="0"/>
        <v>0</v>
      </c>
    </row>
    <row r="11" spans="2:11">
      <c r="B11" s="120" t="s">
        <v>152</v>
      </c>
      <c r="C11" s="28"/>
      <c r="D11" s="133">
        <v>1</v>
      </c>
      <c r="E11" s="71" t="s">
        <v>154</v>
      </c>
      <c r="F11" s="122"/>
      <c r="G11" s="123">
        <f>G13*4+C12*4</f>
        <v>0</v>
      </c>
      <c r="H11" s="42"/>
      <c r="I11" s="49" t="s">
        <v>49</v>
      </c>
      <c r="J11" s="50">
        <f>2*G12/F12</f>
        <v>0</v>
      </c>
      <c r="K11" s="92">
        <f t="shared" si="0"/>
        <v>0</v>
      </c>
    </row>
    <row r="12" spans="2:11">
      <c r="B12" s="17" t="s">
        <v>140</v>
      </c>
      <c r="C12" s="45">
        <v>0</v>
      </c>
      <c r="D12" s="154"/>
      <c r="E12" s="71" t="s">
        <v>37</v>
      </c>
      <c r="F12" s="118">
        <v>1</v>
      </c>
      <c r="G12" s="123">
        <f>IF((C14+C16+C18+C20+C22+C24)&gt;0,G13*120000/(1+(D11-1)/3),C12*120000/(1+(D11-1)/3))</f>
        <v>0</v>
      </c>
      <c r="H12" s="42"/>
      <c r="I12" s="49" t="s">
        <v>18</v>
      </c>
      <c r="J12" s="50">
        <f>2*G12/F12</f>
        <v>0</v>
      </c>
      <c r="K12" s="92">
        <f t="shared" si="0"/>
        <v>0</v>
      </c>
    </row>
    <row r="13" spans="2:11">
      <c r="B13" s="12" t="s">
        <v>155</v>
      </c>
      <c r="C13" s="29"/>
      <c r="D13" s="133">
        <v>1</v>
      </c>
      <c r="E13" s="74" t="s">
        <v>157</v>
      </c>
      <c r="F13" s="68"/>
      <c r="G13" s="67">
        <f>G15*4+C14*4</f>
        <v>0</v>
      </c>
      <c r="H13" s="42"/>
      <c r="I13" s="49" t="s">
        <v>15</v>
      </c>
      <c r="J13" s="50">
        <f>2*G14/F14</f>
        <v>0</v>
      </c>
      <c r="K13" s="92">
        <f t="shared" si="0"/>
        <v>0</v>
      </c>
    </row>
    <row r="14" spans="2:11">
      <c r="B14" s="14" t="s">
        <v>140</v>
      </c>
      <c r="C14" s="45">
        <v>0</v>
      </c>
      <c r="D14" s="154"/>
      <c r="E14" s="74" t="s">
        <v>23</v>
      </c>
      <c r="F14" s="118">
        <v>1</v>
      </c>
      <c r="G14" s="67">
        <f>IF((C16+C18+C20+C22+C24)&gt;0,G15*470000/(1+(D13-1)/3),C14*470000/(1+(D13-1)/3))</f>
        <v>0</v>
      </c>
      <c r="H14" s="42"/>
      <c r="I14" s="49" t="s">
        <v>13</v>
      </c>
      <c r="J14" s="50">
        <f>2*G14/F14</f>
        <v>0</v>
      </c>
      <c r="K14" s="92">
        <f t="shared" si="0"/>
        <v>0</v>
      </c>
    </row>
    <row r="15" spans="2:11">
      <c r="B15" s="120" t="s">
        <v>158</v>
      </c>
      <c r="C15" s="28"/>
      <c r="D15" s="133">
        <v>1</v>
      </c>
      <c r="E15" s="71" t="s">
        <v>156</v>
      </c>
      <c r="F15" s="122"/>
      <c r="G15" s="123">
        <f>G17*4+C16*4</f>
        <v>0</v>
      </c>
      <c r="H15" s="42"/>
      <c r="I15" s="49" t="s">
        <v>17</v>
      </c>
      <c r="J15" s="50">
        <f>2*G16/F16</f>
        <v>0</v>
      </c>
      <c r="K15" s="92">
        <f t="shared" si="0"/>
        <v>0</v>
      </c>
    </row>
    <row r="16" spans="2:11">
      <c r="B16" s="17" t="s">
        <v>140</v>
      </c>
      <c r="C16" s="45">
        <v>0</v>
      </c>
      <c r="D16" s="154"/>
      <c r="E16" s="71" t="s">
        <v>42</v>
      </c>
      <c r="F16" s="118">
        <v>1</v>
      </c>
      <c r="G16" s="123">
        <f>IF((C18+C20+C22+C24)&gt;0,G17*1900000/(1+(D15-1)/3),C16*1900000/(1+(D15-1)/3))</f>
        <v>0</v>
      </c>
      <c r="H16" s="42"/>
      <c r="I16" s="49" t="s">
        <v>12</v>
      </c>
      <c r="J16" s="50">
        <f>2*G16/F16</f>
        <v>0</v>
      </c>
      <c r="K16" s="92">
        <f t="shared" si="0"/>
        <v>0</v>
      </c>
    </row>
    <row r="17" spans="2:11">
      <c r="B17" s="93" t="s">
        <v>53</v>
      </c>
      <c r="C17" s="94"/>
      <c r="D17" s="131">
        <v>1</v>
      </c>
      <c r="E17" s="95" t="s">
        <v>54</v>
      </c>
      <c r="F17" s="95"/>
      <c r="G17" s="96">
        <f>G19*4+C18*4</f>
        <v>0</v>
      </c>
      <c r="H17" s="43"/>
      <c r="J17" s="1"/>
      <c r="K17" s="8"/>
    </row>
    <row r="18" spans="2:11">
      <c r="B18" s="97" t="s">
        <v>140</v>
      </c>
      <c r="C18" s="98">
        <v>0</v>
      </c>
      <c r="D18" s="153"/>
      <c r="E18" s="99" t="s">
        <v>55</v>
      </c>
      <c r="F18" s="100">
        <v>1</v>
      </c>
      <c r="G18" s="96">
        <f>IF((C20+C22+C24)&gt;0,G19*1228172.75556476/(1+(D17-1)/3),C18*1228172.75556476/(1+(D17-1)/3))</f>
        <v>0</v>
      </c>
      <c r="H18" s="43"/>
      <c r="J18" s="1"/>
      <c r="K18" s="8"/>
    </row>
    <row r="19" spans="2:11">
      <c r="B19" s="101" t="s">
        <v>59</v>
      </c>
      <c r="C19" s="102"/>
      <c r="D19" s="131">
        <v>1</v>
      </c>
      <c r="E19" s="103" t="s">
        <v>58</v>
      </c>
      <c r="F19" s="104"/>
      <c r="G19" s="105">
        <f>G21*4+C20*4</f>
        <v>0</v>
      </c>
      <c r="H19" s="43"/>
      <c r="J19" s="1"/>
      <c r="K19" s="8"/>
    </row>
    <row r="20" spans="2:11">
      <c r="B20" s="106" t="s">
        <v>140</v>
      </c>
      <c r="C20" s="98">
        <v>0</v>
      </c>
      <c r="D20" s="153"/>
      <c r="E20" s="103" t="s">
        <v>60</v>
      </c>
      <c r="F20" s="100">
        <v>1</v>
      </c>
      <c r="G20" s="107">
        <f>IF((C22+C24)&gt;0,G21*3800000/(1+(D19-1)/3),C20*3800000/(1+(D19-1)/3))</f>
        <v>0</v>
      </c>
      <c r="H20" s="43"/>
      <c r="J20" s="1"/>
      <c r="K20" s="8"/>
    </row>
    <row r="21" spans="2:11">
      <c r="B21" s="93" t="s">
        <v>63</v>
      </c>
      <c r="C21" s="94"/>
      <c r="D21" s="131">
        <v>1</v>
      </c>
      <c r="E21" s="99" t="s">
        <v>62</v>
      </c>
      <c r="F21" s="95"/>
      <c r="G21" s="96">
        <f>G23*4+C22*4</f>
        <v>0</v>
      </c>
      <c r="H21" s="43"/>
      <c r="J21" s="1"/>
      <c r="K21" s="8"/>
    </row>
    <row r="22" spans="2:11">
      <c r="B22" s="97" t="s">
        <v>140</v>
      </c>
      <c r="C22" s="98">
        <v>0</v>
      </c>
      <c r="D22" s="153"/>
      <c r="E22" s="99" t="s">
        <v>64</v>
      </c>
      <c r="F22" s="100">
        <v>1</v>
      </c>
      <c r="G22" s="96">
        <f>IF(C24&gt;0,G23*60000000/(1+(D21-1)/3),C22*60000000/(1+(D21-1)/3))</f>
        <v>0</v>
      </c>
      <c r="H22" s="43"/>
      <c r="J22" s="1"/>
      <c r="K22" s="8"/>
    </row>
    <row r="23" spans="2:11">
      <c r="B23" s="101" t="s">
        <v>67</v>
      </c>
      <c r="C23" s="102"/>
      <c r="D23" s="131">
        <v>1</v>
      </c>
      <c r="E23" s="103" t="s">
        <v>66</v>
      </c>
      <c r="F23" s="104"/>
      <c r="G23" s="107">
        <f>C24*4</f>
        <v>0</v>
      </c>
      <c r="H23" s="43"/>
      <c r="J23" s="1"/>
    </row>
    <row r="24" spans="2:11">
      <c r="B24" s="106" t="s">
        <v>140</v>
      </c>
      <c r="C24" s="98">
        <v>0</v>
      </c>
      <c r="D24" s="153"/>
      <c r="E24" s="104" t="s">
        <v>68</v>
      </c>
      <c r="F24" s="117">
        <v>1</v>
      </c>
      <c r="G24" s="107">
        <f>IF(C24&gt;0,C24*240000000/(1+(D23-1)/3),0)</f>
        <v>0</v>
      </c>
      <c r="H24" s="43"/>
      <c r="J24" s="1"/>
    </row>
    <row r="25" spans="2:11">
      <c r="B25" s="121"/>
      <c r="C25" s="121"/>
      <c r="D25" s="40"/>
      <c r="E25" s="121"/>
      <c r="F25" s="40"/>
      <c r="G25" s="80"/>
      <c r="H25" s="78"/>
      <c r="J25" s="1"/>
      <c r="K25" s="8"/>
    </row>
    <row r="26" spans="2:11">
      <c r="B26" s="38"/>
      <c r="C26" s="38"/>
      <c r="D26" s="39"/>
      <c r="E26" s="38"/>
      <c r="F26" s="39"/>
      <c r="G26" s="79"/>
      <c r="H26" s="78"/>
      <c r="J26" s="1"/>
    </row>
    <row r="27" spans="2:11">
      <c r="B27" s="38"/>
      <c r="C27" s="38"/>
      <c r="D27" s="39"/>
      <c r="E27" s="38"/>
      <c r="F27" s="39"/>
      <c r="G27" s="79"/>
      <c r="H27" s="78"/>
      <c r="J27" s="1"/>
    </row>
    <row r="28" spans="2:11">
      <c r="B28" s="38"/>
      <c r="C28" s="38"/>
      <c r="D28" s="39"/>
      <c r="E28" s="38"/>
      <c r="F28" s="39"/>
      <c r="G28" s="79"/>
      <c r="H28" s="78"/>
      <c r="J28" s="1"/>
      <c r="K28" s="8"/>
    </row>
    <row r="29" spans="2:11">
      <c r="B29" s="38"/>
      <c r="C29" s="38"/>
      <c r="D29" s="39"/>
      <c r="E29" s="38"/>
      <c r="F29" s="39"/>
      <c r="G29" s="79"/>
      <c r="H29" s="78"/>
      <c r="J29" s="1"/>
    </row>
    <row r="30" spans="2:11">
      <c r="B30" s="38"/>
      <c r="C30" s="38"/>
      <c r="D30" s="39"/>
      <c r="E30" s="38"/>
      <c r="F30" s="39"/>
      <c r="G30" s="79"/>
      <c r="H30" s="78"/>
      <c r="J30" s="1"/>
    </row>
    <row r="31" spans="2:11">
      <c r="B31" s="38"/>
      <c r="C31" s="38"/>
      <c r="D31" s="39"/>
      <c r="E31" s="38"/>
      <c r="F31" s="39"/>
      <c r="G31" s="79"/>
      <c r="H31" s="78"/>
      <c r="J31" s="1"/>
    </row>
    <row r="32" spans="2:11">
      <c r="J32" s="1"/>
    </row>
    <row r="33" spans="10:10">
      <c r="J33" s="1"/>
    </row>
    <row r="34" spans="10:10">
      <c r="J34" s="1"/>
    </row>
  </sheetData>
  <mergeCells count="17">
    <mergeCell ref="B5:D5"/>
    <mergeCell ref="E5:G5"/>
    <mergeCell ref="I5:K5"/>
    <mergeCell ref="B6:C6"/>
    <mergeCell ref="B7:C7"/>
    <mergeCell ref="D7:D8"/>
    <mergeCell ref="E7:E8"/>
    <mergeCell ref="F7:F8"/>
    <mergeCell ref="G7:G8"/>
    <mergeCell ref="D21:D22"/>
    <mergeCell ref="D23:D24"/>
    <mergeCell ref="D9:D10"/>
    <mergeCell ref="D11:D12"/>
    <mergeCell ref="D13:D14"/>
    <mergeCell ref="D15:D16"/>
    <mergeCell ref="D17:D18"/>
    <mergeCell ref="D19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labo</vt:lpstr>
      <vt:lpstr>extra</vt:lpstr>
      <vt:lpstr>NRJ</vt:lpstr>
      <vt:lpstr>terra</vt:lpstr>
      <vt:lpstr>ind</vt:lpstr>
      <vt:lpstr>rendement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Enfants</dc:creator>
  <cp:lastModifiedBy>Enfants</cp:lastModifiedBy>
  <dcterms:created xsi:type="dcterms:W3CDTF">2013-06-24T01:31:38Z</dcterms:created>
  <dcterms:modified xsi:type="dcterms:W3CDTF">2013-07-08T11:55:03Z</dcterms:modified>
</cp:coreProperties>
</file>