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nadette\Downloads\"/>
    </mc:Choice>
  </mc:AlternateContent>
  <bookViews>
    <workbookView xWindow="0" yWindow="0" windowWidth="20490" windowHeight="7425"/>
  </bookViews>
  <sheets>
    <sheet name="Feuille1" sheetId="1" r:id="rId1"/>
    <sheet name="Feuille2" sheetId="2" r:id="rId2"/>
    <sheet name="Feuille3" sheetId="3" r:id="rId3"/>
  </sheets>
  <calcPr calcId="152511"/>
</workbook>
</file>

<file path=xl/calcChain.xml><?xml version="1.0" encoding="utf-8"?>
<calcChain xmlns="http://schemas.openxmlformats.org/spreadsheetml/2006/main">
  <c r="II50" i="1" l="1"/>
  <c r="NN20" i="1" l="1"/>
  <c r="B20" i="1" s="1"/>
  <c r="FH96" i="1"/>
  <c r="ES96" i="1"/>
  <c r="DB96" i="1"/>
  <c r="BD96" i="1"/>
  <c r="AN96" i="1"/>
  <c r="HB95" i="1"/>
  <c r="HA95" i="1"/>
  <c r="GZ95" i="1"/>
  <c r="GZ96" i="1" s="1"/>
  <c r="GY95" i="1"/>
  <c r="GX95" i="1"/>
  <c r="GW95" i="1"/>
  <c r="GV95" i="1"/>
  <c r="GU95" i="1"/>
  <c r="GS95" i="1"/>
  <c r="GP95" i="1"/>
  <c r="GN95" i="1"/>
  <c r="GN96" i="1" s="1"/>
  <c r="GI95" i="1"/>
  <c r="GH95" i="1"/>
  <c r="GB95" i="1"/>
  <c r="GA95" i="1"/>
  <c r="FY95" i="1"/>
  <c r="FY96" i="1" s="1"/>
  <c r="FS95" i="1"/>
  <c r="FR95" i="1"/>
  <c r="FQ95" i="1"/>
  <c r="FL95" i="1"/>
  <c r="FK95" i="1"/>
  <c r="FJ95" i="1"/>
  <c r="FI95" i="1"/>
  <c r="FI96" i="1" s="1"/>
  <c r="FH95" i="1"/>
  <c r="FF95" i="1"/>
  <c r="FB95" i="1"/>
  <c r="EZ95" i="1"/>
  <c r="EX95" i="1"/>
  <c r="EU95" i="1"/>
  <c r="ET95" i="1"/>
  <c r="ES95" i="1"/>
  <c r="EQ95" i="1"/>
  <c r="EP95" i="1"/>
  <c r="EO95" i="1"/>
  <c r="EI95" i="1"/>
  <c r="EH95" i="1"/>
  <c r="EH96" i="1" s="1"/>
  <c r="EF95" i="1"/>
  <c r="DZ95" i="1"/>
  <c r="DY95" i="1"/>
  <c r="DX95" i="1"/>
  <c r="DX96" i="1" s="1"/>
  <c r="DT95" i="1"/>
  <c r="DR95" i="1"/>
  <c r="DQ95" i="1"/>
  <c r="DO95" i="1"/>
  <c r="DN95" i="1"/>
  <c r="DL95" i="1"/>
  <c r="DL96" i="1" s="1"/>
  <c r="DK95" i="1"/>
  <c r="DI95" i="1"/>
  <c r="DH95" i="1"/>
  <c r="DH96" i="1" s="1"/>
  <c r="DF95" i="1"/>
  <c r="DE95" i="1"/>
  <c r="DB95" i="1"/>
  <c r="CX95" i="1"/>
  <c r="CW95" i="1"/>
  <c r="CU95" i="1"/>
  <c r="CS95" i="1"/>
  <c r="CR95" i="1"/>
  <c r="CR96" i="1" s="1"/>
  <c r="CP95" i="1"/>
  <c r="CO95" i="1"/>
  <c r="CF95" i="1"/>
  <c r="CF96" i="1" s="1"/>
  <c r="CE95" i="1"/>
  <c r="CD95" i="1"/>
  <c r="BZ95" i="1"/>
  <c r="BY95" i="1"/>
  <c r="BY96" i="1" s="1"/>
  <c r="BX95" i="1"/>
  <c r="BX96" i="1" s="1"/>
  <c r="BW95" i="1"/>
  <c r="BV95" i="1"/>
  <c r="BR95" i="1"/>
  <c r="BO95" i="1"/>
  <c r="BO96" i="1" s="1"/>
  <c r="BG95" i="1"/>
  <c r="BF95" i="1"/>
  <c r="BE95" i="1"/>
  <c r="BD95" i="1"/>
  <c r="AQ95" i="1"/>
  <c r="AO95" i="1"/>
  <c r="AN95" i="1"/>
  <c r="AM95" i="1"/>
  <c r="AL95" i="1"/>
  <c r="AL96" i="1" s="1"/>
  <c r="AE95" i="1"/>
  <c r="Z95" i="1"/>
  <c r="W95" i="1"/>
  <c r="T95" i="1"/>
  <c r="T96" i="1" s="1"/>
  <c r="O95" i="1"/>
  <c r="H95" i="1"/>
  <c r="H96" i="1" s="1"/>
  <c r="G95" i="1"/>
  <c r="G96" i="1" s="1"/>
  <c r="F95" i="1"/>
  <c r="E95" i="1"/>
  <c r="D95" i="1"/>
  <c r="D96" i="1" s="1"/>
  <c r="C95" i="1"/>
  <c r="HE94" i="1"/>
  <c r="HD94" i="1"/>
  <c r="HC94" i="1"/>
  <c r="HB94" i="1"/>
  <c r="HA94" i="1"/>
  <c r="GZ94" i="1"/>
  <c r="GY94" i="1"/>
  <c r="GX94" i="1"/>
  <c r="GX96" i="1" s="1"/>
  <c r="GW94" i="1"/>
  <c r="GV94" i="1"/>
  <c r="GU94" i="1"/>
  <c r="GT94" i="1"/>
  <c r="GS94" i="1"/>
  <c r="GR94" i="1"/>
  <c r="GQ94" i="1"/>
  <c r="GP94" i="1"/>
  <c r="GO94" i="1"/>
  <c r="GN94" i="1"/>
  <c r="GM94" i="1"/>
  <c r="GL94" i="1"/>
  <c r="GK94" i="1"/>
  <c r="GJ94" i="1"/>
  <c r="GI94" i="1"/>
  <c r="GH94" i="1"/>
  <c r="GG94" i="1"/>
  <c r="GF94" i="1"/>
  <c r="GE94" i="1"/>
  <c r="GD94" i="1"/>
  <c r="GC94" i="1"/>
  <c r="GB94" i="1"/>
  <c r="GA94" i="1"/>
  <c r="FZ94" i="1"/>
  <c r="FY94" i="1"/>
  <c r="FX94" i="1"/>
  <c r="FW94" i="1"/>
  <c r="FV94" i="1"/>
  <c r="FU94" i="1"/>
  <c r="FT94" i="1"/>
  <c r="FS94" i="1"/>
  <c r="FR94" i="1"/>
  <c r="FQ94" i="1"/>
  <c r="FP94" i="1"/>
  <c r="FO94" i="1"/>
  <c r="FN94" i="1"/>
  <c r="FM94" i="1"/>
  <c r="FL94" i="1"/>
  <c r="FK94" i="1"/>
  <c r="FJ94" i="1"/>
  <c r="FI94" i="1"/>
  <c r="FH94" i="1"/>
  <c r="FG94" i="1"/>
  <c r="FF94" i="1"/>
  <c r="FE94" i="1"/>
  <c r="FD94" i="1"/>
  <c r="FC94" i="1"/>
  <c r="FB94" i="1"/>
  <c r="FA94" i="1"/>
  <c r="EZ94" i="1"/>
  <c r="EY94" i="1"/>
  <c r="EX94" i="1"/>
  <c r="EW94" i="1"/>
  <c r="EV94" i="1"/>
  <c r="EU94" i="1"/>
  <c r="ET94" i="1"/>
  <c r="ES94" i="1"/>
  <c r="ER94" i="1"/>
  <c r="EQ94" i="1"/>
  <c r="EP94" i="1"/>
  <c r="EO94" i="1"/>
  <c r="EN94" i="1"/>
  <c r="EM94" i="1"/>
  <c r="EL94" i="1"/>
  <c r="EK94" i="1"/>
  <c r="EJ94" i="1"/>
  <c r="EI94" i="1"/>
  <c r="EH94" i="1"/>
  <c r="EG94" i="1"/>
  <c r="EF94" i="1"/>
  <c r="EE94" i="1"/>
  <c r="ED94" i="1"/>
  <c r="EC94" i="1"/>
  <c r="EB94" i="1"/>
  <c r="EA94" i="1"/>
  <c r="DZ94" i="1"/>
  <c r="DY94" i="1"/>
  <c r="DX94" i="1"/>
  <c r="DW94" i="1"/>
  <c r="DU94" i="1"/>
  <c r="DT94" i="1"/>
  <c r="DS94" i="1"/>
  <c r="DR94" i="1"/>
  <c r="DQ94" i="1"/>
  <c r="DQ96" i="1" s="1"/>
  <c r="DP94" i="1"/>
  <c r="DO94" i="1"/>
  <c r="DN94" i="1"/>
  <c r="DM94" i="1"/>
  <c r="DL94" i="1"/>
  <c r="DK94" i="1"/>
  <c r="DJ94" i="1"/>
  <c r="DI94" i="1"/>
  <c r="DH94" i="1"/>
  <c r="DG94" i="1"/>
  <c r="DF94" i="1"/>
  <c r="DE94" i="1"/>
  <c r="DD94" i="1"/>
  <c r="DC94" i="1"/>
  <c r="DB94" i="1"/>
  <c r="DA94" i="1"/>
  <c r="CZ94" i="1"/>
  <c r="CY94" i="1"/>
  <c r="CX94" i="1"/>
  <c r="CW94" i="1"/>
  <c r="CV94" i="1"/>
  <c r="CU94" i="1"/>
  <c r="CT94" i="1"/>
  <c r="CS94" i="1"/>
  <c r="CR94" i="1"/>
  <c r="CQ94" i="1"/>
  <c r="CP94" i="1"/>
  <c r="CO94" i="1"/>
  <c r="CN94" i="1"/>
  <c r="CM94" i="1"/>
  <c r="CL94" i="1"/>
  <c r="CK94" i="1"/>
  <c r="CJ94" i="1"/>
  <c r="CI94" i="1"/>
  <c r="CH94" i="1"/>
  <c r="CG94" i="1"/>
  <c r="CF94" i="1"/>
  <c r="CE94" i="1"/>
  <c r="CD94" i="1"/>
  <c r="CC94" i="1"/>
  <c r="CB94" i="1"/>
  <c r="CA94" i="1"/>
  <c r="BZ94" i="1"/>
  <c r="BY94" i="1"/>
  <c r="BX94" i="1"/>
  <c r="BW94" i="1"/>
  <c r="BV94" i="1"/>
  <c r="BU94" i="1"/>
  <c r="BT94" i="1"/>
  <c r="BS94" i="1"/>
  <c r="BR94" i="1"/>
  <c r="BQ94" i="1"/>
  <c r="BP94" i="1"/>
  <c r="BO94" i="1"/>
  <c r="BN94" i="1"/>
  <c r="BM94" i="1"/>
  <c r="BL94" i="1"/>
  <c r="BK94" i="1"/>
  <c r="BJ94" i="1"/>
  <c r="BI94" i="1"/>
  <c r="BH94" i="1"/>
  <c r="BG94" i="1"/>
  <c r="BF94" i="1"/>
  <c r="BE94" i="1"/>
  <c r="BD94" i="1"/>
  <c r="BC94" i="1"/>
  <c r="BB94" i="1"/>
  <c r="BA94" i="1"/>
  <c r="AZ94" i="1"/>
  <c r="AY94" i="1"/>
  <c r="AX94" i="1"/>
  <c r="AW94" i="1"/>
  <c r="AV94" i="1"/>
  <c r="AU94" i="1"/>
  <c r="AT94" i="1"/>
  <c r="AS94" i="1"/>
  <c r="AR94" i="1"/>
  <c r="AQ94" i="1"/>
  <c r="AP94" i="1"/>
  <c r="AO94" i="1"/>
  <c r="AN94" i="1"/>
  <c r="AM94" i="1"/>
  <c r="AL94" i="1"/>
  <c r="AK94" i="1"/>
  <c r="AJ94" i="1"/>
  <c r="AI94" i="1"/>
  <c r="AH94" i="1"/>
  <c r="AG94" i="1"/>
  <c r="AF94" i="1"/>
  <c r="AE94" i="1"/>
  <c r="AD94" i="1"/>
  <c r="AC94" i="1"/>
  <c r="AB94" i="1"/>
  <c r="AA94" i="1"/>
  <c r="Z94" i="1"/>
  <c r="Y94" i="1"/>
  <c r="X94" i="1"/>
  <c r="W94" i="1"/>
  <c r="V94" i="1"/>
  <c r="U94" i="1"/>
  <c r="T94" i="1"/>
  <c r="S94" i="1"/>
  <c r="R94" i="1"/>
  <c r="Q94" i="1"/>
  <c r="P94" i="1"/>
  <c r="O94" i="1"/>
  <c r="N94" i="1"/>
  <c r="M94" i="1"/>
  <c r="L94" i="1"/>
  <c r="K94" i="1"/>
  <c r="J94" i="1"/>
  <c r="I94" i="1"/>
  <c r="H94" i="1"/>
  <c r="G94" i="1"/>
  <c r="F94" i="1"/>
  <c r="E94" i="1"/>
  <c r="E96" i="1" s="1"/>
  <c r="D94" i="1"/>
  <c r="C94" i="1"/>
  <c r="HJ92" i="1"/>
  <c r="HJ91" i="1"/>
  <c r="HR90" i="1"/>
  <c r="IC92" i="1" s="1"/>
  <c r="GV90" i="1"/>
  <c r="FD90" i="1"/>
  <c r="FC90" i="1"/>
  <c r="FC95" i="1" s="1"/>
  <c r="FC96" i="1" s="1"/>
  <c r="EW90" i="1"/>
  <c r="ER90" i="1"/>
  <c r="ER95" i="1" s="1"/>
  <c r="ER96" i="1" s="1"/>
  <c r="EL90" i="1"/>
  <c r="EL95" i="1" s="1"/>
  <c r="ED90" i="1"/>
  <c r="EN92" i="1" s="1"/>
  <c r="EB90" i="1"/>
  <c r="BT90" i="1"/>
  <c r="BQ90" i="1"/>
  <c r="BN90" i="1"/>
  <c r="BN95" i="1" s="1"/>
  <c r="BN96" i="1" s="1"/>
  <c r="BJ90" i="1"/>
  <c r="BH90" i="1"/>
  <c r="BB90" i="1"/>
  <c r="BB95" i="1" s="1"/>
  <c r="BB96" i="1" s="1"/>
  <c r="BA90" i="1"/>
  <c r="AP90" i="1"/>
  <c r="AI90" i="1"/>
  <c r="AI95" i="1" s="1"/>
  <c r="AH90" i="1"/>
  <c r="AD90" i="1"/>
  <c r="AD95" i="1" s="1"/>
  <c r="AD96" i="1" s="1"/>
  <c r="X90" i="1"/>
  <c r="V90" i="1"/>
  <c r="V95" i="1" s="1"/>
  <c r="V96" i="1" s="1"/>
  <c r="U90" i="1"/>
  <c r="GV89" i="1"/>
  <c r="GV91" i="1" s="1"/>
  <c r="B89" i="1"/>
  <c r="BV87" i="1"/>
  <c r="BV86" i="1"/>
  <c r="BC85" i="1"/>
  <c r="BC95" i="1" s="1"/>
  <c r="BB85" i="1"/>
  <c r="AK85" i="1"/>
  <c r="AK95" i="1" s="1"/>
  <c r="AK96" i="1" s="1"/>
  <c r="R85" i="1"/>
  <c r="R95" i="1" s="1"/>
  <c r="R96" i="1" s="1"/>
  <c r="J85" i="1"/>
  <c r="B84" i="1"/>
  <c r="FC82" i="1"/>
  <c r="FZ81" i="1"/>
  <c r="FC81" i="1"/>
  <c r="HZ80" i="1"/>
  <c r="HY80" i="1"/>
  <c r="HN80" i="1"/>
  <c r="HM80" i="1"/>
  <c r="HG80" i="1"/>
  <c r="HE80" i="1"/>
  <c r="HD80" i="1"/>
  <c r="HC80" i="1"/>
  <c r="GQ80" i="1"/>
  <c r="GQ95" i="1" s="1"/>
  <c r="GM80" i="1"/>
  <c r="GL80" i="1"/>
  <c r="GL95" i="1" s="1"/>
  <c r="GL96" i="1" s="1"/>
  <c r="GC80" i="1"/>
  <c r="FM80" i="1"/>
  <c r="EJ80" i="1"/>
  <c r="EA80" i="1"/>
  <c r="B80" i="1" s="1"/>
  <c r="B79" i="1"/>
  <c r="HZ77" i="1"/>
  <c r="HF77" i="1"/>
  <c r="HZ76" i="1"/>
  <c r="HF76" i="1"/>
  <c r="FW76" i="1"/>
  <c r="GJ75" i="1"/>
  <c r="GJ95" i="1" s="1"/>
  <c r="GJ96" i="1" s="1"/>
  <c r="GE75" i="1"/>
  <c r="GC75" i="1"/>
  <c r="FZ75" i="1"/>
  <c r="FZ95" i="1" s="1"/>
  <c r="FZ96" i="1" s="1"/>
  <c r="FV75" i="1"/>
  <c r="FV95" i="1" s="1"/>
  <c r="FV96" i="1" s="1"/>
  <c r="B74" i="1"/>
  <c r="GB72" i="1"/>
  <c r="FV70" i="1"/>
  <c r="GB71" i="1" s="1"/>
  <c r="CM70" i="1"/>
  <c r="CM95" i="1" s="1"/>
  <c r="CM96" i="1" s="1"/>
  <c r="BS70" i="1"/>
  <c r="BS95" i="1" s="1"/>
  <c r="BS96" i="1" s="1"/>
  <c r="BP70" i="1"/>
  <c r="BN70" i="1"/>
  <c r="BJ70" i="1"/>
  <c r="BI70" i="1"/>
  <c r="BT72" i="1" s="1"/>
  <c r="AV70" i="1"/>
  <c r="AV95" i="1" s="1"/>
  <c r="AV96" i="1" s="1"/>
  <c r="AU70" i="1"/>
  <c r="AU95" i="1" s="1"/>
  <c r="B69" i="1"/>
  <c r="BS66" i="1"/>
  <c r="DV65" i="1"/>
  <c r="DU65" i="1"/>
  <c r="DV66" i="1" s="1"/>
  <c r="DC65" i="1"/>
  <c r="DC95" i="1" s="1"/>
  <c r="DC96" i="1" s="1"/>
  <c r="CZ65" i="1"/>
  <c r="CL65" i="1"/>
  <c r="CL95" i="1" s="1"/>
  <c r="CL96" i="1" s="1"/>
  <c r="CK65" i="1"/>
  <c r="CJ65" i="1"/>
  <c r="BN65" i="1"/>
  <c r="BS67" i="1" s="1"/>
  <c r="AZ65" i="1"/>
  <c r="AZ95" i="1" s="1"/>
  <c r="AZ96" i="1" s="1"/>
  <c r="AX65" i="1"/>
  <c r="AX95" i="1" s="1"/>
  <c r="AX96" i="1" s="1"/>
  <c r="AT65" i="1"/>
  <c r="AJ65" i="1"/>
  <c r="AJ95" i="1" s="1"/>
  <c r="AJ96" i="1" s="1"/>
  <c r="AF65" i="1"/>
  <c r="AC65" i="1"/>
  <c r="AC95" i="1" s="1"/>
  <c r="AB65" i="1"/>
  <c r="AB95" i="1" s="1"/>
  <c r="AB96" i="1" s="1"/>
  <c r="AA65" i="1"/>
  <c r="AK66" i="1" s="1"/>
  <c r="N65" i="1"/>
  <c r="N95" i="1" s="1"/>
  <c r="N96" i="1" s="1"/>
  <c r="K65" i="1"/>
  <c r="I65" i="1"/>
  <c r="I95" i="1" s="1"/>
  <c r="I96" i="1" s="1"/>
  <c r="G65" i="1"/>
  <c r="B64" i="1"/>
  <c r="EP62" i="1"/>
  <c r="BA62" i="1"/>
  <c r="FH61" i="1"/>
  <c r="BA61" i="1"/>
  <c r="HW60" i="1"/>
  <c r="HT60" i="1"/>
  <c r="HS60" i="1"/>
  <c r="HL60" i="1"/>
  <c r="HE60" i="1"/>
  <c r="HD60" i="1"/>
  <c r="HC60" i="1"/>
  <c r="GT60" i="1"/>
  <c r="GM60" i="1"/>
  <c r="GL60" i="1"/>
  <c r="GK60" i="1"/>
  <c r="FU60" i="1"/>
  <c r="FV62" i="1" s="1"/>
  <c r="FG60" i="1"/>
  <c r="FH62" i="1" s="1"/>
  <c r="EC60" i="1"/>
  <c r="EC95" i="1" s="1"/>
  <c r="EC96" i="1" s="1"/>
  <c r="DW60" i="1"/>
  <c r="DW95" i="1" s="1"/>
  <c r="DW96" i="1" s="1"/>
  <c r="DV60" i="1"/>
  <c r="DU60" i="1"/>
  <c r="DP60" i="1"/>
  <c r="BT60" i="1"/>
  <c r="AH60" i="1"/>
  <c r="AG60" i="1"/>
  <c r="P60" i="1"/>
  <c r="P95" i="1" s="1"/>
  <c r="P96" i="1" s="1"/>
  <c r="K60" i="1"/>
  <c r="B59" i="1"/>
  <c r="HZ57" i="1"/>
  <c r="DT57" i="1"/>
  <c r="BR57" i="1"/>
  <c r="HZ56" i="1"/>
  <c r="DB56" i="1"/>
  <c r="BR56" i="1"/>
  <c r="HE55" i="1"/>
  <c r="HC55" i="1"/>
  <c r="GM55" i="1"/>
  <c r="GN56" i="1" s="1"/>
  <c r="FU55" i="1"/>
  <c r="FV57" i="1" s="1"/>
  <c r="FC55" i="1"/>
  <c r="EK55" i="1"/>
  <c r="EJ55" i="1"/>
  <c r="EL56" i="1" s="1"/>
  <c r="DS55" i="1"/>
  <c r="DT56" i="1" s="1"/>
  <c r="DA55" i="1"/>
  <c r="CI55" i="1"/>
  <c r="CI95" i="1" s="1"/>
  <c r="CI96" i="1" s="1"/>
  <c r="B54" i="1"/>
  <c r="HB52" i="1"/>
  <c r="EZ52" i="1"/>
  <c r="HB51" i="1"/>
  <c r="EZ51" i="1"/>
  <c r="HQ50" i="1"/>
  <c r="HN50" i="1"/>
  <c r="HV51" i="1" s="1"/>
  <c r="GG50" i="1"/>
  <c r="GG95" i="1" s="1"/>
  <c r="GG96" i="1" s="1"/>
  <c r="GD50" i="1"/>
  <c r="FP50" i="1"/>
  <c r="FP95" i="1" s="1"/>
  <c r="FP96" i="1" s="1"/>
  <c r="FO50" i="1"/>
  <c r="EB50" i="1"/>
  <c r="EH52" i="1" s="1"/>
  <c r="DP50" i="1"/>
  <c r="DT51" i="1" s="1"/>
  <c r="DA50" i="1"/>
  <c r="CZ50" i="1"/>
  <c r="CY50" i="1"/>
  <c r="CY95" i="1" s="1"/>
  <c r="CV50" i="1"/>
  <c r="CV95" i="1" s="1"/>
  <c r="CV96" i="1" s="1"/>
  <c r="CI50" i="1"/>
  <c r="CH50" i="1"/>
  <c r="CH95" i="1" s="1"/>
  <c r="CH96" i="1" s="1"/>
  <c r="CG50" i="1"/>
  <c r="CG95" i="1" s="1"/>
  <c r="CG96" i="1" s="1"/>
  <c r="BQ50" i="1"/>
  <c r="BP50" i="1"/>
  <c r="BM50" i="1"/>
  <c r="BR51" i="1" s="1"/>
  <c r="BC50" i="1"/>
  <c r="BB50" i="1"/>
  <c r="BA50" i="1"/>
  <c r="B49" i="1"/>
  <c r="CR47" i="1"/>
  <c r="CR46" i="1"/>
  <c r="AY45" i="1"/>
  <c r="AW45" i="1"/>
  <c r="AW95" i="1" s="1"/>
  <c r="AW96" i="1" s="1"/>
  <c r="AT45" i="1"/>
  <c r="AZ46" i="1" s="1"/>
  <c r="AF45" i="1"/>
  <c r="AA45" i="1"/>
  <c r="AA95" i="1" s="1"/>
  <c r="U45" i="1"/>
  <c r="Q45" i="1"/>
  <c r="L45" i="1"/>
  <c r="B44" i="1"/>
  <c r="HZ42" i="1"/>
  <c r="GP42" i="1"/>
  <c r="GP41" i="1"/>
  <c r="FX41" i="1"/>
  <c r="HQ40" i="1"/>
  <c r="HZ41" i="1" s="1"/>
  <c r="HG40" i="1"/>
  <c r="HF40" i="1"/>
  <c r="HD40" i="1"/>
  <c r="HD95" i="1" s="1"/>
  <c r="HD96" i="1" s="1"/>
  <c r="FW40" i="1"/>
  <c r="FT40" i="1"/>
  <c r="FT95" i="1" s="1"/>
  <c r="FT96" i="1" s="1"/>
  <c r="FO40" i="1"/>
  <c r="FD40" i="1"/>
  <c r="FC40" i="1"/>
  <c r="EW40" i="1"/>
  <c r="EM40" i="1"/>
  <c r="EM95" i="1" s="1"/>
  <c r="EK40" i="1"/>
  <c r="EG40" i="1"/>
  <c r="B39" i="1"/>
  <c r="HH37" i="1"/>
  <c r="GP37" i="1"/>
  <c r="DF37" i="1"/>
  <c r="HH36" i="1"/>
  <c r="DF36" i="1"/>
  <c r="BV36" i="1"/>
  <c r="HY35" i="1"/>
  <c r="GO35" i="1"/>
  <c r="GE35" i="1"/>
  <c r="GP36" i="1" s="1"/>
  <c r="FW35" i="1"/>
  <c r="FM35" i="1"/>
  <c r="FE35" i="1"/>
  <c r="FF37" i="1" s="1"/>
  <c r="CK35" i="1"/>
  <c r="CB35" i="1"/>
  <c r="CB95" i="1" s="1"/>
  <c r="CB96" i="1" s="1"/>
  <c r="BU35" i="1"/>
  <c r="BU95" i="1" s="1"/>
  <c r="BL35" i="1"/>
  <c r="BL95" i="1" s="1"/>
  <c r="BL96" i="1" s="1"/>
  <c r="BK35" i="1"/>
  <c r="BK95" i="1" s="1"/>
  <c r="BC35" i="1"/>
  <c r="AS35" i="1"/>
  <c r="AR35" i="1"/>
  <c r="B34" i="1"/>
  <c r="IJ32" i="1"/>
  <c r="CM32" i="1"/>
  <c r="IJ31" i="1"/>
  <c r="HR31" i="1"/>
  <c r="CM31" i="1"/>
  <c r="AZ31" i="1"/>
  <c r="F31" i="1"/>
  <c r="HP30" i="1"/>
  <c r="HR32" i="1" s="1"/>
  <c r="GT30" i="1"/>
  <c r="GR30" i="1"/>
  <c r="GR95" i="1" s="1"/>
  <c r="GR96" i="1" s="1"/>
  <c r="GO30" i="1"/>
  <c r="GK30" i="1"/>
  <c r="GF30" i="1"/>
  <c r="GF95" i="1" s="1"/>
  <c r="GF96" i="1" s="1"/>
  <c r="GD30" i="1"/>
  <c r="GD95" i="1" s="1"/>
  <c r="GD96" i="1" s="1"/>
  <c r="FV30" i="1"/>
  <c r="FN30" i="1"/>
  <c r="FO32" i="1" s="1"/>
  <c r="EW30" i="1"/>
  <c r="EV30" i="1"/>
  <c r="EE30" i="1"/>
  <c r="EE95" i="1" s="1"/>
  <c r="DV30" i="1"/>
  <c r="AY30" i="1"/>
  <c r="AY95" i="1" s="1"/>
  <c r="AY96" i="1" s="1"/>
  <c r="AG30" i="1"/>
  <c r="DV29" i="1"/>
  <c r="DG27" i="1"/>
  <c r="CM27" i="1"/>
  <c r="BF27" i="1"/>
  <c r="AH27" i="1"/>
  <c r="DG26" i="1"/>
  <c r="CM26" i="1"/>
  <c r="BF26" i="1"/>
  <c r="AH26" i="1"/>
  <c r="S25" i="1"/>
  <c r="T27" i="1" s="1"/>
  <c r="C25" i="1"/>
  <c r="B24" i="1"/>
  <c r="AU20" i="1"/>
  <c r="AS20" i="1"/>
  <c r="AR20" i="1"/>
  <c r="AQ20" i="1"/>
  <c r="AP20" i="1"/>
  <c r="S20" i="1"/>
  <c r="Q20" i="1"/>
  <c r="N20" i="1"/>
  <c r="L20" i="1"/>
  <c r="T22" i="1" s="1"/>
  <c r="B19" i="1"/>
  <c r="IA17" i="1"/>
  <c r="HI17" i="1"/>
  <c r="GQ17" i="1"/>
  <c r="IA16" i="1"/>
  <c r="HI16" i="1"/>
  <c r="FG16" i="1"/>
  <c r="HY15" i="1"/>
  <c r="GO15" i="1"/>
  <c r="GQ16" i="1" s="1"/>
  <c r="FX15" i="1"/>
  <c r="FX95" i="1" s="1"/>
  <c r="FX96" i="1" s="1"/>
  <c r="FW15" i="1"/>
  <c r="FC15" i="1"/>
  <c r="FA15" i="1"/>
  <c r="EY15" i="1"/>
  <c r="EY95" i="1" s="1"/>
  <c r="EN15" i="1"/>
  <c r="DZ15" i="1"/>
  <c r="DM15" i="1"/>
  <c r="DM95" i="1" s="1"/>
  <c r="DJ15" i="1"/>
  <c r="DJ95" i="1" s="1"/>
  <c r="DJ96" i="1" s="1"/>
  <c r="DG15" i="1"/>
  <c r="DD15" i="1"/>
  <c r="DD95" i="1" s="1"/>
  <c r="DD96" i="1" s="1"/>
  <c r="CT15" i="1"/>
  <c r="CT95" i="1" s="1"/>
  <c r="CQ15" i="1"/>
  <c r="CQ95" i="1" s="1"/>
  <c r="CN15" i="1"/>
  <c r="CC15" i="1"/>
  <c r="CC95" i="1" s="1"/>
  <c r="CA15" i="1"/>
  <c r="CD16" i="1" s="1"/>
  <c r="BK15" i="1"/>
  <c r="BJ15" i="1"/>
  <c r="BJ95" i="1" s="1"/>
  <c r="BJ96" i="1" s="1"/>
  <c r="BI15" i="1"/>
  <c r="AS15" i="1"/>
  <c r="AP15" i="1"/>
  <c r="Y15" i="1"/>
  <c r="Y95" i="1" s="1"/>
  <c r="Y96" i="1" s="1"/>
  <c r="X15" i="1"/>
  <c r="B14" i="1"/>
  <c r="IA12" i="1"/>
  <c r="HH12" i="1"/>
  <c r="FD12" i="1"/>
  <c r="EL12" i="1"/>
  <c r="DB12" i="1"/>
  <c r="AF12" i="1"/>
  <c r="IA11" i="1"/>
  <c r="HH11" i="1"/>
  <c r="FX11" i="1"/>
  <c r="FD11" i="1"/>
  <c r="EL11" i="1"/>
  <c r="DB11" i="1"/>
  <c r="CJ11" i="1"/>
  <c r="AF11" i="1"/>
  <c r="GO10" i="1"/>
  <c r="FW10" i="1"/>
  <c r="FX12" i="1" s="1"/>
  <c r="DS10" i="1"/>
  <c r="CI10" i="1"/>
  <c r="CJ12" i="1" s="1"/>
  <c r="BQ10" i="1"/>
  <c r="BR11" i="1" s="1"/>
  <c r="AW10" i="1"/>
  <c r="AX12" i="1" s="1"/>
  <c r="M10" i="1"/>
  <c r="B9" i="1"/>
  <c r="IA7" i="1"/>
  <c r="HG7" i="1"/>
  <c r="IA6" i="1"/>
  <c r="HG6" i="1"/>
  <c r="B5" i="1"/>
  <c r="B78" i="1" l="1"/>
  <c r="EN91" i="1"/>
  <c r="BE96" i="1"/>
  <c r="EA95" i="1"/>
  <c r="EP96" i="1"/>
  <c r="FB96" i="1"/>
  <c r="FJ96" i="1"/>
  <c r="GH96" i="1"/>
  <c r="AT16" i="1"/>
  <c r="CT96" i="1"/>
  <c r="DM96" i="1"/>
  <c r="T21" i="1"/>
  <c r="DV95" i="1"/>
  <c r="EF31" i="1"/>
  <c r="FF41" i="1"/>
  <c r="FF42" i="1"/>
  <c r="BC51" i="1"/>
  <c r="DB52" i="1"/>
  <c r="HF57" i="1"/>
  <c r="GN57" i="1"/>
  <c r="DP95" i="1"/>
  <c r="DP96" i="1" s="1"/>
  <c r="FV61" i="1"/>
  <c r="B75" i="1"/>
  <c r="B76" i="1" s="1"/>
  <c r="GE95" i="1"/>
  <c r="BD87" i="1"/>
  <c r="GV88" i="1"/>
  <c r="CW96" i="1"/>
  <c r="ED95" i="1"/>
  <c r="ED96" i="1" s="1"/>
  <c r="EX96" i="1"/>
  <c r="FF96" i="1"/>
  <c r="EH51" i="1"/>
  <c r="FF92" i="1"/>
  <c r="DZ96" i="1"/>
  <c r="GT95" i="1"/>
  <c r="GT96" i="1" s="1"/>
  <c r="CL36" i="1"/>
  <c r="CL37" i="1"/>
  <c r="CJ52" i="1"/>
  <c r="FO95" i="1"/>
  <c r="FO96" i="1" s="1"/>
  <c r="GJ52" i="1"/>
  <c r="EL57" i="1"/>
  <c r="B60" i="1"/>
  <c r="B61" i="1" s="1"/>
  <c r="AC96" i="1"/>
  <c r="CK95" i="1"/>
  <c r="CK96" i="1" s="1"/>
  <c r="GO77" i="1"/>
  <c r="EJ95" i="1"/>
  <c r="EJ96" i="1" s="1"/>
  <c r="GM95" i="1"/>
  <c r="GM96" i="1" s="1"/>
  <c r="U95" i="1"/>
  <c r="U96" i="1" s="1"/>
  <c r="AH95" i="1"/>
  <c r="AH96" i="1" s="1"/>
  <c r="EL96" i="1"/>
  <c r="BR96" i="1"/>
  <c r="CP96" i="1"/>
  <c r="DN96" i="1"/>
  <c r="FR96" i="1"/>
  <c r="BL17" i="1"/>
  <c r="CC96" i="1"/>
  <c r="CD17" i="1"/>
  <c r="FO31" i="1"/>
  <c r="EF32" i="1"/>
  <c r="BU96" i="1"/>
  <c r="Q95" i="1"/>
  <c r="Q96" i="1" s="1"/>
  <c r="AZ47" i="1"/>
  <c r="GJ51" i="1"/>
  <c r="BC52" i="1"/>
  <c r="HV52" i="1"/>
  <c r="AI62" i="1"/>
  <c r="DW61" i="1"/>
  <c r="CZ95" i="1"/>
  <c r="CZ96" i="1" s="1"/>
  <c r="DD67" i="1"/>
  <c r="BI95" i="1"/>
  <c r="BI96" i="1" s="1"/>
  <c r="CN72" i="1"/>
  <c r="FW77" i="1"/>
  <c r="IB82" i="1"/>
  <c r="X95" i="1"/>
  <c r="X96" i="1" s="1"/>
  <c r="EB95" i="1"/>
  <c r="EB96" i="1" s="1"/>
  <c r="IC91" i="1"/>
  <c r="AO96" i="1"/>
  <c r="CD96" i="1"/>
  <c r="CX96" i="1"/>
  <c r="DF96" i="1"/>
  <c r="GS96" i="1"/>
  <c r="HB96" i="1"/>
  <c r="GC95" i="1"/>
  <c r="GC96" i="1" s="1"/>
  <c r="GR82" i="1"/>
  <c r="GR81" i="1"/>
  <c r="HC95" i="1"/>
  <c r="HC96" i="1" s="1"/>
  <c r="HJ81" i="1"/>
  <c r="B81" i="1"/>
  <c r="C96" i="1"/>
  <c r="D97" i="1" s="1"/>
  <c r="E97" i="1" s="1"/>
  <c r="CN95" i="1"/>
  <c r="CN96" i="1" s="1"/>
  <c r="CV17" i="1"/>
  <c r="CV16" i="1"/>
  <c r="DG95" i="1"/>
  <c r="DG96" i="1" s="1"/>
  <c r="DN17" i="1"/>
  <c r="EN95" i="1"/>
  <c r="EN96" i="1" s="1"/>
  <c r="EO16" i="1"/>
  <c r="FY17" i="1"/>
  <c r="FY16" i="1"/>
  <c r="EO17" i="1"/>
  <c r="GG32" i="1"/>
  <c r="AS95" i="1"/>
  <c r="AS96" i="1" s="1"/>
  <c r="BD37" i="1"/>
  <c r="FX37" i="1"/>
  <c r="FX36" i="1"/>
  <c r="IA36" i="1"/>
  <c r="IA37" i="1"/>
  <c r="FW95" i="1"/>
  <c r="FW96" i="1" s="1"/>
  <c r="Q61" i="1"/>
  <c r="Q62" i="1"/>
  <c r="HJ82" i="1"/>
  <c r="AA96" i="1"/>
  <c r="AU96" i="1"/>
  <c r="GP12" i="1"/>
  <c r="GP11" i="1"/>
  <c r="L95" i="1"/>
  <c r="L96" i="1" s="1"/>
  <c r="B45" i="1"/>
  <c r="R46" i="1"/>
  <c r="M95" i="1"/>
  <c r="M96" i="1" s="1"/>
  <c r="B10" i="1"/>
  <c r="DT12" i="1"/>
  <c r="DT11" i="1"/>
  <c r="BR12" i="1"/>
  <c r="BL16" i="1"/>
  <c r="B21" i="1"/>
  <c r="B18" i="1"/>
  <c r="GY32" i="1"/>
  <c r="AZ32" i="1"/>
  <c r="DA95" i="1"/>
  <c r="DA96" i="1" s="1"/>
  <c r="DB57" i="1"/>
  <c r="FD57" i="1"/>
  <c r="FD56" i="1"/>
  <c r="BU62" i="1"/>
  <c r="BU61" i="1"/>
  <c r="GK95" i="1"/>
  <c r="GK96" i="1" s="1"/>
  <c r="GN62" i="1"/>
  <c r="GN61" i="1"/>
  <c r="K95" i="1"/>
  <c r="K96" i="1" s="1"/>
  <c r="BC96" i="1"/>
  <c r="BG96" i="1"/>
  <c r="DS95" i="1"/>
  <c r="DS96" i="1" s="1"/>
  <c r="B15" i="1"/>
  <c r="FA95" i="1"/>
  <c r="FA96" i="1" s="1"/>
  <c r="FG17" i="1"/>
  <c r="DN16" i="1"/>
  <c r="AT17" i="1"/>
  <c r="DV94" i="1"/>
  <c r="B94" i="1" s="1"/>
  <c r="B29" i="1"/>
  <c r="GG31" i="1"/>
  <c r="R47" i="1"/>
  <c r="DW62" i="1"/>
  <c r="B73" i="1"/>
  <c r="GE96" i="1"/>
  <c r="IB81" i="1"/>
  <c r="B85" i="1"/>
  <c r="J95" i="1"/>
  <c r="J96" i="1" s="1"/>
  <c r="S87" i="1"/>
  <c r="S86" i="1"/>
  <c r="EW95" i="1"/>
  <c r="EW96" i="1" s="1"/>
  <c r="AI96" i="1"/>
  <c r="BW96" i="1"/>
  <c r="CA95" i="1"/>
  <c r="CA96" i="1" s="1"/>
  <c r="EI96" i="1"/>
  <c r="EU96" i="1"/>
  <c r="GQ96" i="1"/>
  <c r="AW22" i="1"/>
  <c r="GY31" i="1"/>
  <c r="AR95" i="1"/>
  <c r="AR96" i="1" s="1"/>
  <c r="BD36" i="1"/>
  <c r="B35" i="1"/>
  <c r="FE95" i="1"/>
  <c r="FE96" i="1" s="1"/>
  <c r="FF36" i="1"/>
  <c r="GO95" i="1"/>
  <c r="GO96" i="1" s="1"/>
  <c r="EG95" i="1"/>
  <c r="EG96" i="1" s="1"/>
  <c r="B40" i="1"/>
  <c r="FX42" i="1"/>
  <c r="B50" i="1"/>
  <c r="BM95" i="1"/>
  <c r="BM96" i="1" s="1"/>
  <c r="BR52" i="1"/>
  <c r="CJ51" i="1"/>
  <c r="FR51" i="1"/>
  <c r="FR52" i="1"/>
  <c r="BC67" i="1"/>
  <c r="CJ95" i="1"/>
  <c r="CJ96" i="1" s="1"/>
  <c r="CN66" i="1"/>
  <c r="BC66" i="1"/>
  <c r="AK67" i="1"/>
  <c r="BP95" i="1"/>
  <c r="BP96" i="1" s="1"/>
  <c r="EK81" i="1"/>
  <c r="EK82" i="1"/>
  <c r="B90" i="1"/>
  <c r="BA95" i="1"/>
  <c r="BA96" i="1" s="1"/>
  <c r="FF91" i="1"/>
  <c r="AJ92" i="1"/>
  <c r="O96" i="1"/>
  <c r="AP95" i="1"/>
  <c r="AP96" i="1" s="1"/>
  <c r="CY96" i="1"/>
  <c r="DO96" i="1"/>
  <c r="EE96" i="1"/>
  <c r="EQ96" i="1"/>
  <c r="FN95" i="1"/>
  <c r="FN96" i="1" s="1"/>
  <c r="FS96" i="1"/>
  <c r="HJ41" i="1"/>
  <c r="AG47" i="1"/>
  <c r="DB51" i="1"/>
  <c r="AG95" i="1"/>
  <c r="AG96" i="1" s="1"/>
  <c r="AI61" i="1"/>
  <c r="DU95" i="1"/>
  <c r="DU96" i="1" s="1"/>
  <c r="DV67" i="1"/>
  <c r="BT71" i="1"/>
  <c r="HE95" i="1"/>
  <c r="HE96" i="1" s="1"/>
  <c r="AL86" i="1"/>
  <c r="AL87" i="1"/>
  <c r="BQ95" i="1"/>
  <c r="BQ96" i="1" s="1"/>
  <c r="FD95" i="1"/>
  <c r="FD96" i="1" s="1"/>
  <c r="AJ91" i="1"/>
  <c r="BC92" i="1"/>
  <c r="W96" i="1"/>
  <c r="AE96" i="1"/>
  <c r="AM96" i="1"/>
  <c r="AQ96" i="1"/>
  <c r="BK96" i="1"/>
  <c r="CE96" i="1"/>
  <c r="CQ96" i="1"/>
  <c r="CU96" i="1"/>
  <c r="DK96" i="1"/>
  <c r="EM96" i="1"/>
  <c r="EY96" i="1"/>
  <c r="GA96" i="1"/>
  <c r="Z17" i="1"/>
  <c r="Z16" i="1"/>
  <c r="AW21" i="1"/>
  <c r="B25" i="1"/>
  <c r="T26" i="1"/>
  <c r="AH32" i="1"/>
  <c r="B30" i="1"/>
  <c r="EV95" i="1"/>
  <c r="EV96" i="1" s="1"/>
  <c r="EW32" i="1"/>
  <c r="AH31" i="1"/>
  <c r="EW31" i="1"/>
  <c r="BV37" i="1"/>
  <c r="EN41" i="1"/>
  <c r="EN42" i="1"/>
  <c r="HJ42" i="1"/>
  <c r="DT52" i="1"/>
  <c r="B55" i="1"/>
  <c r="EK95" i="1"/>
  <c r="EK96" i="1" s="1"/>
  <c r="HF56" i="1"/>
  <c r="CJ56" i="1"/>
  <c r="FV56" i="1"/>
  <c r="CJ57" i="1"/>
  <c r="FU95" i="1"/>
  <c r="FU96" i="1" s="1"/>
  <c r="HF61" i="1"/>
  <c r="HF62" i="1" s="1"/>
  <c r="HZ62" i="1"/>
  <c r="HZ61" i="1"/>
  <c r="B65" i="1"/>
  <c r="AF95" i="1"/>
  <c r="AF96" i="1" s="1"/>
  <c r="DD66" i="1"/>
  <c r="CN67" i="1"/>
  <c r="B70" i="1"/>
  <c r="CN71" i="1"/>
  <c r="GO76" i="1"/>
  <c r="FM95" i="1"/>
  <c r="FM96" i="1" s="1"/>
  <c r="FZ82" i="1"/>
  <c r="BD86" i="1"/>
  <c r="BH95" i="1"/>
  <c r="BH96" i="1" s="1"/>
  <c r="BU92" i="1"/>
  <c r="BU91" i="1"/>
  <c r="BT95" i="1"/>
  <c r="BT96" i="1" s="1"/>
  <c r="BC91" i="1"/>
  <c r="F96" i="1"/>
  <c r="S95" i="1"/>
  <c r="S96" i="1" s="1"/>
  <c r="Z96" i="1"/>
  <c r="AT95" i="1"/>
  <c r="AT96" i="1" s="1"/>
  <c r="BF96" i="1"/>
  <c r="BV96" i="1"/>
  <c r="BZ96" i="1"/>
  <c r="DR96" i="1"/>
  <c r="EA96" i="1"/>
  <c r="ET96" i="1"/>
  <c r="FG95" i="1"/>
  <c r="FG96" i="1" s="1"/>
  <c r="FK96" i="1"/>
  <c r="GI96" i="1"/>
  <c r="GP96" i="1"/>
  <c r="GU96" i="1"/>
  <c r="GY96" i="1"/>
  <c r="AX11" i="1"/>
  <c r="AG46" i="1"/>
  <c r="EP61" i="1"/>
  <c r="DT96" i="1"/>
  <c r="EF96" i="1"/>
  <c r="EZ96" i="1"/>
  <c r="FL96" i="1"/>
  <c r="GB96" i="1"/>
  <c r="GV96" i="1"/>
  <c r="CO96" i="1"/>
  <c r="CS96" i="1"/>
  <c r="DE96" i="1"/>
  <c r="DI96" i="1"/>
  <c r="DY96" i="1"/>
  <c r="EO96" i="1"/>
  <c r="FQ96" i="1"/>
  <c r="GW96" i="1"/>
  <c r="HA96" i="1"/>
  <c r="B58" i="1" l="1"/>
  <c r="F97" i="1"/>
  <c r="G97" i="1" s="1"/>
  <c r="H97" i="1" s="1"/>
  <c r="I97" i="1" s="1"/>
  <c r="J97" i="1" s="1"/>
  <c r="K97" i="1" s="1"/>
  <c r="L97" i="1" s="1"/>
  <c r="M97" i="1" s="1"/>
  <c r="N97" i="1" s="1"/>
  <c r="O97" i="1" s="1"/>
  <c r="P97" i="1" s="1"/>
  <c r="Q97" i="1" s="1"/>
  <c r="R97" i="1" s="1"/>
  <c r="S97" i="1" s="1"/>
  <c r="T97" i="1" s="1"/>
  <c r="U97" i="1" s="1"/>
  <c r="V97" i="1" s="1"/>
  <c r="W97" i="1" s="1"/>
  <c r="X97" i="1" s="1"/>
  <c r="Y97" i="1" s="1"/>
  <c r="Z97" i="1" s="1"/>
  <c r="AA97" i="1" s="1"/>
  <c r="AB97" i="1" s="1"/>
  <c r="AC97" i="1" s="1"/>
  <c r="AD97" i="1" s="1"/>
  <c r="AE97" i="1" s="1"/>
  <c r="AF97" i="1" s="1"/>
  <c r="AG97" i="1" s="1"/>
  <c r="AH97" i="1" s="1"/>
  <c r="AI97" i="1" s="1"/>
  <c r="AJ97" i="1" s="1"/>
  <c r="AK97" i="1" s="1"/>
  <c r="AL97" i="1" s="1"/>
  <c r="AM97" i="1" s="1"/>
  <c r="AN97" i="1" s="1"/>
  <c r="AO97" i="1" s="1"/>
  <c r="AP97" i="1" s="1"/>
  <c r="AQ97" i="1" s="1"/>
  <c r="AR97" i="1" s="1"/>
  <c r="AS97" i="1" s="1"/>
  <c r="AT97" i="1" s="1"/>
  <c r="AU97" i="1" s="1"/>
  <c r="AV97" i="1" s="1"/>
  <c r="AW97" i="1" s="1"/>
  <c r="AX97" i="1" s="1"/>
  <c r="AY97" i="1" s="1"/>
  <c r="AZ97" i="1" s="1"/>
  <c r="BA97" i="1" s="1"/>
  <c r="BB97" i="1" s="1"/>
  <c r="BC97" i="1" s="1"/>
  <c r="BD97" i="1" s="1"/>
  <c r="BE97" i="1" s="1"/>
  <c r="BF97" i="1" s="1"/>
  <c r="BG97" i="1" s="1"/>
  <c r="BH97" i="1" s="1"/>
  <c r="BI97" i="1" s="1"/>
  <c r="BJ97" i="1" s="1"/>
  <c r="BK97" i="1" s="1"/>
  <c r="BL97" i="1" s="1"/>
  <c r="BM97" i="1" s="1"/>
  <c r="BN97" i="1" s="1"/>
  <c r="BO97" i="1" s="1"/>
  <c r="BP97" i="1" s="1"/>
  <c r="BQ97" i="1" s="1"/>
  <c r="BR97" i="1" s="1"/>
  <c r="BS97" i="1" s="1"/>
  <c r="BT97" i="1" s="1"/>
  <c r="BU97" i="1" s="1"/>
  <c r="BV97" i="1" s="1"/>
  <c r="BW97" i="1" s="1"/>
  <c r="BX97" i="1" s="1"/>
  <c r="BY97" i="1" s="1"/>
  <c r="BZ97" i="1" s="1"/>
  <c r="CA97" i="1" s="1"/>
  <c r="CB97" i="1" s="1"/>
  <c r="CC97" i="1" s="1"/>
  <c r="CD97" i="1" s="1"/>
  <c r="CE97" i="1" s="1"/>
  <c r="CF97" i="1" s="1"/>
  <c r="CG97" i="1" s="1"/>
  <c r="CH97" i="1" s="1"/>
  <c r="CI97" i="1" s="1"/>
  <c r="CJ97" i="1" s="1"/>
  <c r="CK97" i="1" s="1"/>
  <c r="CL97" i="1" s="1"/>
  <c r="CM97" i="1" s="1"/>
  <c r="CN97" i="1" s="1"/>
  <c r="CO97" i="1" s="1"/>
  <c r="CP97" i="1" s="1"/>
  <c r="CQ97" i="1" s="1"/>
  <c r="CR97" i="1" s="1"/>
  <c r="CS97" i="1" s="1"/>
  <c r="CT97" i="1" s="1"/>
  <c r="CU97" i="1" s="1"/>
  <c r="CV97" i="1" s="1"/>
  <c r="CW97" i="1" s="1"/>
  <c r="CX97" i="1" s="1"/>
  <c r="CY97" i="1" s="1"/>
  <c r="CZ97" i="1" s="1"/>
  <c r="DA97" i="1" s="1"/>
  <c r="DB97" i="1" s="1"/>
  <c r="DC97" i="1" s="1"/>
  <c r="DD97" i="1" s="1"/>
  <c r="DE97" i="1" s="1"/>
  <c r="DF97" i="1" s="1"/>
  <c r="DG97" i="1" s="1"/>
  <c r="DH97" i="1" s="1"/>
  <c r="DI97" i="1" s="1"/>
  <c r="DJ97" i="1" s="1"/>
  <c r="DK97" i="1" s="1"/>
  <c r="DL97" i="1" s="1"/>
  <c r="DM97" i="1" s="1"/>
  <c r="DN97" i="1" s="1"/>
  <c r="DO97" i="1" s="1"/>
  <c r="DP97" i="1" s="1"/>
  <c r="DQ97" i="1" s="1"/>
  <c r="DR97" i="1" s="1"/>
  <c r="DS97" i="1" s="1"/>
  <c r="DT97" i="1" s="1"/>
  <c r="DU97" i="1" s="1"/>
  <c r="B36" i="1"/>
  <c r="B33" i="1"/>
  <c r="DV96" i="1"/>
  <c r="B71" i="1"/>
  <c r="B68" i="1"/>
  <c r="B66" i="1"/>
  <c r="B63" i="1"/>
  <c r="B31" i="1"/>
  <c r="B28" i="1"/>
  <c r="B51" i="1"/>
  <c r="B48" i="1"/>
  <c r="B16" i="1"/>
  <c r="B13" i="1"/>
  <c r="B23" i="1"/>
  <c r="B26" i="1"/>
  <c r="B43" i="1"/>
  <c r="B46" i="1"/>
  <c r="B56" i="1"/>
  <c r="B53" i="1"/>
  <c r="B91" i="1"/>
  <c r="B88" i="1"/>
  <c r="B38" i="1"/>
  <c r="B41" i="1"/>
  <c r="B86" i="1"/>
  <c r="B83" i="1"/>
  <c r="B8" i="1"/>
  <c r="B11" i="1"/>
  <c r="B95" i="1"/>
  <c r="DV97" i="1" l="1"/>
  <c r="DW97" i="1" s="1"/>
  <c r="DX97" i="1" s="1"/>
  <c r="DY97" i="1" s="1"/>
  <c r="DZ97" i="1" s="1"/>
  <c r="EA97" i="1" s="1"/>
  <c r="EB97" i="1" s="1"/>
  <c r="EC97" i="1" s="1"/>
  <c r="ED97" i="1" s="1"/>
  <c r="EE97" i="1" s="1"/>
  <c r="EF97" i="1" s="1"/>
  <c r="EG97" i="1" s="1"/>
  <c r="EH97" i="1" s="1"/>
  <c r="EI97" i="1" s="1"/>
  <c r="EJ97" i="1" s="1"/>
  <c r="EK97" i="1" s="1"/>
  <c r="EL97" i="1" s="1"/>
  <c r="EM97" i="1" s="1"/>
  <c r="EN97" i="1" s="1"/>
  <c r="EO97" i="1" s="1"/>
  <c r="EP97" i="1" s="1"/>
  <c r="EQ97" i="1" s="1"/>
  <c r="ER97" i="1" s="1"/>
  <c r="ES97" i="1" s="1"/>
  <c r="ET97" i="1" s="1"/>
  <c r="EU97" i="1" s="1"/>
  <c r="EV97" i="1" s="1"/>
  <c r="EW97" i="1" s="1"/>
  <c r="EX97" i="1" s="1"/>
  <c r="EY97" i="1" s="1"/>
  <c r="EZ97" i="1" s="1"/>
  <c r="FA97" i="1" s="1"/>
  <c r="FB97" i="1" s="1"/>
  <c r="FC97" i="1" s="1"/>
  <c r="FD97" i="1" s="1"/>
  <c r="FE97" i="1" s="1"/>
  <c r="FF97" i="1" s="1"/>
  <c r="FG97" i="1" s="1"/>
  <c r="FH97" i="1" s="1"/>
  <c r="FI97" i="1" s="1"/>
  <c r="FJ97" i="1" s="1"/>
  <c r="FK97" i="1" s="1"/>
  <c r="FL97" i="1" s="1"/>
  <c r="FM97" i="1" s="1"/>
  <c r="FN97" i="1" s="1"/>
  <c r="FO97" i="1" s="1"/>
  <c r="FP97" i="1" s="1"/>
  <c r="FQ97" i="1" s="1"/>
  <c r="FR97" i="1" s="1"/>
  <c r="FS97" i="1" s="1"/>
  <c r="FT97" i="1" s="1"/>
  <c r="FU97" i="1" s="1"/>
  <c r="FV97" i="1" s="1"/>
  <c r="FW97" i="1" s="1"/>
  <c r="FX97" i="1" s="1"/>
  <c r="FY97" i="1" s="1"/>
  <c r="FZ97" i="1" s="1"/>
  <c r="GA97" i="1" s="1"/>
  <c r="GB97" i="1" s="1"/>
  <c r="GC97" i="1" s="1"/>
  <c r="GD97" i="1" s="1"/>
  <c r="GE97" i="1" s="1"/>
  <c r="GF97" i="1" s="1"/>
  <c r="GG97" i="1" s="1"/>
  <c r="GH97" i="1" s="1"/>
  <c r="GI97" i="1" s="1"/>
  <c r="GJ97" i="1" s="1"/>
  <c r="GK97" i="1" s="1"/>
  <c r="GL97" i="1" s="1"/>
  <c r="GM97" i="1" s="1"/>
  <c r="GN97" i="1" s="1"/>
  <c r="GO97" i="1" s="1"/>
  <c r="GP97" i="1" s="1"/>
  <c r="GQ97" i="1" s="1"/>
  <c r="GR97" i="1" s="1"/>
  <c r="GS97" i="1" s="1"/>
  <c r="GT97" i="1" s="1"/>
  <c r="GU97" i="1" s="1"/>
  <c r="GV97" i="1" s="1"/>
  <c r="GW97" i="1" s="1"/>
  <c r="GX97" i="1" s="1"/>
  <c r="GY97" i="1" s="1"/>
  <c r="GZ97" i="1" s="1"/>
  <c r="HA97" i="1" s="1"/>
  <c r="HB97" i="1" s="1"/>
  <c r="HC97" i="1" s="1"/>
  <c r="HD97" i="1" s="1"/>
  <c r="HE97" i="1" s="1"/>
  <c r="B96" i="1"/>
  <c r="B93" i="1"/>
  <c r="B4" i="1"/>
  <c r="B6" i="1" s="1"/>
  <c r="B3" i="1" l="1"/>
</calcChain>
</file>

<file path=xl/sharedStrings.xml><?xml version="1.0" encoding="utf-8"?>
<sst xmlns="http://schemas.openxmlformats.org/spreadsheetml/2006/main" count="285" uniqueCount="99">
  <si>
    <t xml:space="preserve"> </t>
  </si>
  <si>
    <t>chesnutree :</t>
  </si>
  <si>
    <t>salaire =</t>
  </si>
  <si>
    <t>O</t>
  </si>
  <si>
    <t>recettes =</t>
  </si>
  <si>
    <t>N</t>
  </si>
  <si>
    <t>solde =</t>
  </si>
  <si>
    <t>Bruxelles :</t>
  </si>
  <si>
    <t>Nancy :</t>
  </si>
  <si>
    <t>E</t>
  </si>
  <si>
    <t>choucharno :</t>
  </si>
  <si>
    <t>A</t>
  </si>
  <si>
    <t>Saint-Etienne</t>
  </si>
  <si>
    <t>Saint-Etienne :</t>
  </si>
  <si>
    <t>Saint-Etienne :</t>
  </si>
  <si>
    <t>Grenoble :</t>
  </si>
  <si>
    <t>Tours</t>
  </si>
  <si>
    <t>GRENOBLE</t>
  </si>
  <si>
    <t>druuna :</t>
  </si>
  <si>
    <t>Marseille</t>
  </si>
  <si>
    <t>Marseille :</t>
  </si>
  <si>
    <t>Paris :</t>
  </si>
  <si>
    <t>PARIS</t>
  </si>
  <si>
    <t>U</t>
  </si>
  <si>
    <t>X</t>
  </si>
  <si>
    <t>filouche :</t>
  </si>
  <si>
    <t>G</t>
  </si>
  <si>
    <t>Nice :</t>
  </si>
  <si>
    <t>Villeurbanne :</t>
  </si>
  <si>
    <t>flubber :</t>
  </si>
  <si>
    <t>Aix</t>
  </si>
  <si>
    <t>Rouen :</t>
  </si>
  <si>
    <t>Angers :</t>
  </si>
  <si>
    <t>Bruges :</t>
  </si>
  <si>
    <t>Clermont :</t>
  </si>
  <si>
    <t>Le Havre :</t>
  </si>
  <si>
    <t>!!!!!</t>
  </si>
  <si>
    <t>fontainard :</t>
  </si>
  <si>
    <t>!!!!!!!</t>
  </si>
  <si>
    <t>Lyon :</t>
  </si>
  <si>
    <t>Lyon :</t>
  </si>
  <si>
    <t>Lille :</t>
  </si>
  <si>
    <t>Marseille :</t>
  </si>
  <si>
    <t>golden :</t>
  </si>
  <si>
    <t>Bruxelles :</t>
  </si>
  <si>
    <t>Nice :</t>
  </si>
  <si>
    <t>Liège :</t>
  </si>
  <si>
    <t>janvier :</t>
  </si>
  <si>
    <t>Grenoble</t>
  </si>
  <si>
    <t>ocostoat :</t>
  </si>
  <si>
    <t>Grenoble :</t>
  </si>
  <si>
    <t>Boulogne :</t>
  </si>
  <si>
    <t>okedoc :</t>
  </si>
  <si>
    <t>Saint-Paul :</t>
  </si>
  <si>
    <t>Anvers :</t>
  </si>
  <si>
    <t>ANVERS</t>
  </si>
  <si>
    <t>pich :</t>
  </si>
  <si>
    <t>LYON</t>
  </si>
  <si>
    <t>place :</t>
  </si>
  <si>
    <t>Paris :</t>
  </si>
  <si>
    <t>Saint Etienne</t>
  </si>
  <si>
    <t>suclastones :</t>
  </si>
  <si>
    <t>terrify :</t>
  </si>
  <si>
    <t>Lisieux</t>
  </si>
  <si>
    <t>Toulouse :</t>
  </si>
  <si>
    <t>tourret :</t>
  </si>
  <si>
    <t>Villeurbanne :</t>
  </si>
  <si>
    <t>Villerbanne:</t>
  </si>
  <si>
    <t>Villeurbanne</t>
  </si>
  <si>
    <t>unclepaul :</t>
  </si>
  <si>
    <t>Troyes</t>
  </si>
  <si>
    <t>wolfi :</t>
  </si>
  <si>
    <t>PP</t>
  </si>
  <si>
    <t>zeus :</t>
  </si>
  <si>
    <t>elizabethwsan</t>
  </si>
  <si>
    <t>Le Havre :</t>
  </si>
  <si>
    <t>Lille :</t>
  </si>
  <si>
    <t>Strasbourg</t>
  </si>
  <si>
    <t>Srasbourg</t>
  </si>
  <si>
    <t>TOTAL :</t>
  </si>
  <si>
    <t>elisabethswan</t>
  </si>
  <si>
    <t>C</t>
  </si>
  <si>
    <t>L</t>
  </si>
  <si>
    <t>T</t>
  </si>
  <si>
    <t>M</t>
  </si>
  <si>
    <t>D</t>
  </si>
  <si>
    <t>!!!</t>
  </si>
  <si>
    <t>!!!!!!!!!</t>
  </si>
  <si>
    <t>"</t>
  </si>
  <si>
    <t>S</t>
  </si>
  <si>
    <t>R</t>
  </si>
  <si>
    <t>I</t>
  </si>
  <si>
    <t>V</t>
  </si>
  <si>
    <t>;)</t>
  </si>
  <si>
    <t>MERCI A TOUS POUR VOTRE CONTRIBUTION !</t>
  </si>
  <si>
    <t>FELICITATIONS A DRUUNA POUR TOUT CE TRAVAIL</t>
  </si>
  <si>
    <t>SUR CETTE FICHE EXCEL</t>
  </si>
  <si>
    <t>FAISONS DE NOTRE MIEUX POUR L'ANNEE SUIVANTE</t>
  </si>
  <si>
    <t>RENDONS NOS CAMPAGNES RENTABLES 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</si>
</sst>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/mm/yy"/>
    <numFmt numFmtId="165" formatCode="0.0%"/>
    <numFmt numFmtId="166" formatCode="#,##0;[Red]&quot;-&quot;#,##0"/>
    <numFmt numFmtId="167" formatCode="#,##0.00&quot; &quot;[$€-40C];[Red]&quot;-&quot;#,##0.00&quot; &quot;[$€-40C]"/>
  </numFmts>
  <fonts count="12" x14ac:knownFonts="1">
    <font>
      <sz val="11"/>
      <color rgb="FF000000"/>
      <name val="Arial"/>
      <family val="2"/>
    </font>
    <font>
      <sz val="11"/>
      <color rgb="FF000000"/>
      <name val="Arial"/>
      <family val="2"/>
    </font>
    <font>
      <b/>
      <i/>
      <sz val="16"/>
      <color rgb="FF000000"/>
      <name val="Arial"/>
      <family val="2"/>
    </font>
    <font>
      <b/>
      <i/>
      <u/>
      <sz val="11"/>
      <color rgb="FF000000"/>
      <name val="Arial"/>
      <family val="2"/>
    </font>
    <font>
      <b/>
      <sz val="11"/>
      <color rgb="FF000000"/>
      <name val="Arial"/>
      <family val="2"/>
    </font>
    <font>
      <i/>
      <sz val="11"/>
      <color rgb="FF000000"/>
      <name val="Arial"/>
      <family val="2"/>
    </font>
    <font>
      <sz val="11"/>
      <color rgb="FF008000"/>
      <name val="Arial"/>
      <family val="2"/>
    </font>
    <font>
      <b/>
      <sz val="8"/>
      <color rgb="FF000000"/>
      <name val="Arial"/>
      <family val="2"/>
    </font>
    <font>
      <b/>
      <i/>
      <sz val="8"/>
      <color rgb="FF000000"/>
      <name val="Arial"/>
      <family val="2"/>
    </font>
    <font>
      <b/>
      <sz val="11"/>
      <color rgb="FF008000"/>
      <name val="Arial"/>
      <family val="2"/>
    </font>
    <font>
      <sz val="8"/>
      <color rgb="FF008000"/>
      <name val="Arial"/>
      <family val="2"/>
    </font>
    <font>
      <sz val="11"/>
      <color rgb="FFFF0000"/>
      <name val="Arial Black"/>
      <family val="2"/>
    </font>
  </fonts>
  <fills count="13">
    <fill>
      <patternFill patternType="none"/>
    </fill>
    <fill>
      <patternFill patternType="gray125"/>
    </fill>
    <fill>
      <patternFill patternType="solid">
        <fgColor rgb="FFE7E6E6"/>
        <bgColor rgb="FFE7E6E6"/>
      </patternFill>
    </fill>
    <fill>
      <patternFill patternType="solid">
        <fgColor rgb="FFD9E1F2"/>
        <bgColor rgb="FFD9E1F2"/>
      </patternFill>
    </fill>
    <fill>
      <patternFill patternType="solid">
        <fgColor rgb="FFFFF2CC"/>
        <bgColor rgb="FFFFF2CC"/>
      </patternFill>
    </fill>
    <fill>
      <patternFill patternType="solid">
        <fgColor rgb="FF999999"/>
        <bgColor rgb="FF999999"/>
      </patternFill>
    </fill>
    <fill>
      <patternFill patternType="solid">
        <fgColor rgb="FFD6DCE4"/>
        <bgColor rgb="FFD6DCE4"/>
      </patternFill>
    </fill>
    <fill>
      <patternFill patternType="solid">
        <fgColor rgb="FFCCCCCC"/>
        <bgColor rgb="FFCCCCCC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D9E1F2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rgb="FFD9E1F2"/>
      </patternFill>
    </fill>
    <fill>
      <patternFill patternType="solid">
        <fgColor theme="7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0" fontId="3" fillId="0" borderId="0" applyNumberFormat="0" applyBorder="0" applyProtection="0"/>
    <xf numFmtId="167" fontId="3" fillId="0" borderId="0" applyBorder="0" applyProtection="0"/>
  </cellStyleXfs>
  <cellXfs count="151">
    <xf numFmtId="0" fontId="0" fillId="0" borderId="0" xfId="0"/>
    <xf numFmtId="164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14" fontId="0" fillId="0" borderId="0" xfId="0" applyNumberFormat="1"/>
    <xf numFmtId="16" fontId="0" fillId="0" borderId="0" xfId="0" applyNumberFormat="1"/>
    <xf numFmtId="14" fontId="0" fillId="2" borderId="0" xfId="0" applyNumberFormat="1" applyFill="1"/>
    <xf numFmtId="164" fontId="0" fillId="3" borderId="0" xfId="0" applyNumberFormat="1" applyFill="1" applyAlignment="1">
      <alignment horizontal="center"/>
    </xf>
    <xf numFmtId="0" fontId="0" fillId="3" borderId="0" xfId="0" applyFill="1"/>
    <xf numFmtId="0" fontId="0" fillId="4" borderId="0" xfId="0" applyFill="1"/>
    <xf numFmtId="0" fontId="4" fillId="0" borderId="0" xfId="0" applyFont="1"/>
    <xf numFmtId="165" fontId="5" fillId="0" borderId="0" xfId="0" applyNumberFormat="1" applyFont="1" applyAlignment="1">
      <alignment horizontal="left"/>
    </xf>
    <xf numFmtId="0" fontId="0" fillId="0" borderId="0" xfId="0" applyAlignment="1">
      <alignment horizontal="center" vertical="center"/>
    </xf>
    <xf numFmtId="3" fontId="0" fillId="0" borderId="0" xfId="0" applyNumberFormat="1"/>
    <xf numFmtId="3" fontId="0" fillId="0" borderId="0" xfId="0" applyNumberFormat="1" applyAlignment="1">
      <alignment horizontal="left"/>
    </xf>
    <xf numFmtId="3" fontId="0" fillId="0" borderId="0" xfId="0" applyNumberFormat="1" applyAlignment="1">
      <alignment horizontal="right"/>
    </xf>
    <xf numFmtId="3" fontId="0" fillId="3" borderId="0" xfId="0" applyNumberFormat="1" applyFill="1" applyAlignment="1">
      <alignment horizontal="right"/>
    </xf>
    <xf numFmtId="3" fontId="0" fillId="3" borderId="1" xfId="0" applyNumberFormat="1" applyFill="1" applyBorder="1" applyAlignment="1">
      <alignment horizontal="right"/>
    </xf>
    <xf numFmtId="3" fontId="0" fillId="3" borderId="2" xfId="0" applyNumberFormat="1" applyFill="1" applyBorder="1" applyAlignment="1">
      <alignment horizontal="right"/>
    </xf>
    <xf numFmtId="3" fontId="0" fillId="3" borderId="3" xfId="0" applyNumberFormat="1" applyFill="1" applyBorder="1" applyAlignment="1">
      <alignment horizontal="right"/>
    </xf>
    <xf numFmtId="3" fontId="0" fillId="4" borderId="0" xfId="0" applyNumberFormat="1" applyFill="1" applyAlignment="1">
      <alignment horizontal="right"/>
    </xf>
    <xf numFmtId="3" fontId="0" fillId="4" borderId="1" xfId="0" applyNumberFormat="1" applyFill="1" applyBorder="1" applyAlignment="1">
      <alignment horizontal="right"/>
    </xf>
    <xf numFmtId="3" fontId="0" fillId="4" borderId="2" xfId="0" applyNumberFormat="1" applyFill="1" applyBorder="1" applyAlignment="1">
      <alignment horizontal="right"/>
    </xf>
    <xf numFmtId="3" fontId="0" fillId="4" borderId="3" xfId="0" applyNumberFormat="1" applyFill="1" applyBorder="1" applyAlignment="1">
      <alignment horizontal="right"/>
    </xf>
    <xf numFmtId="3" fontId="0" fillId="0" borderId="0" xfId="0" applyNumberFormat="1" applyAlignment="1">
      <alignment horizontal="center" vertical="center"/>
    </xf>
    <xf numFmtId="3" fontId="0" fillId="0" borderId="0" xfId="0" applyNumberFormat="1" applyAlignment="1">
      <alignment horizontal="center"/>
    </xf>
    <xf numFmtId="3" fontId="5" fillId="0" borderId="0" xfId="0" applyNumberFormat="1" applyFont="1" applyAlignment="1">
      <alignment horizontal="right"/>
    </xf>
    <xf numFmtId="3" fontId="0" fillId="3" borderId="4" xfId="0" applyNumberFormat="1" applyFill="1" applyBorder="1" applyAlignment="1">
      <alignment horizontal="right"/>
    </xf>
    <xf numFmtId="3" fontId="0" fillId="3" borderId="5" xfId="0" applyNumberFormat="1" applyFill="1" applyBorder="1" applyAlignment="1">
      <alignment horizontal="right"/>
    </xf>
    <xf numFmtId="3" fontId="0" fillId="3" borderId="6" xfId="0" applyNumberFormat="1" applyFill="1" applyBorder="1" applyAlignment="1">
      <alignment horizontal="right"/>
    </xf>
    <xf numFmtId="3" fontId="0" fillId="4" borderId="4" xfId="0" applyNumberFormat="1" applyFill="1" applyBorder="1" applyAlignment="1">
      <alignment horizontal="right"/>
    </xf>
    <xf numFmtId="3" fontId="0" fillId="4" borderId="5" xfId="0" applyNumberFormat="1" applyFill="1" applyBorder="1" applyAlignment="1">
      <alignment horizontal="right"/>
    </xf>
    <xf numFmtId="166" fontId="6" fillId="0" borderId="0" xfId="0" applyNumberFormat="1" applyFont="1" applyAlignment="1">
      <alignment horizontal="left"/>
    </xf>
    <xf numFmtId="0" fontId="4" fillId="3" borderId="7" xfId="0" applyFont="1" applyFill="1" applyBorder="1"/>
    <xf numFmtId="3" fontId="4" fillId="3" borderId="8" xfId="0" applyNumberFormat="1" applyFont="1" applyFill="1" applyBorder="1"/>
    <xf numFmtId="0" fontId="0" fillId="4" borderId="7" xfId="0" applyFill="1" applyBorder="1"/>
    <xf numFmtId="3" fontId="0" fillId="4" borderId="8" xfId="0" applyNumberFormat="1" applyFill="1" applyBorder="1"/>
    <xf numFmtId="166" fontId="0" fillId="0" borderId="0" xfId="0" applyNumberFormat="1" applyAlignment="1">
      <alignment horizontal="left"/>
    </xf>
    <xf numFmtId="0" fontId="4" fillId="3" borderId="9" xfId="0" applyFont="1" applyFill="1" applyBorder="1"/>
    <xf numFmtId="9" fontId="4" fillId="3" borderId="10" xfId="1" applyFont="1" applyFill="1" applyBorder="1"/>
    <xf numFmtId="0" fontId="0" fillId="4" borderId="9" xfId="0" applyFill="1" applyBorder="1"/>
    <xf numFmtId="9" fontId="1" fillId="4" borderId="10" xfId="1" applyFill="1" applyBorder="1"/>
    <xf numFmtId="3" fontId="0" fillId="0" borderId="0" xfId="0" applyNumberFormat="1" applyFill="1"/>
    <xf numFmtId="3" fontId="0" fillId="0" borderId="2" xfId="0" applyNumberFormat="1" applyBorder="1"/>
    <xf numFmtId="3" fontId="0" fillId="0" borderId="3" xfId="0" applyNumberFormat="1" applyBorder="1"/>
    <xf numFmtId="3" fontId="0" fillId="0" borderId="1" xfId="0" applyNumberFormat="1" applyBorder="1"/>
    <xf numFmtId="3" fontId="0" fillId="0" borderId="2" xfId="0" applyNumberFormat="1" applyFill="1" applyBorder="1"/>
    <xf numFmtId="3" fontId="0" fillId="3" borderId="1" xfId="0" applyNumberFormat="1" applyFill="1" applyBorder="1"/>
    <xf numFmtId="3" fontId="0" fillId="3" borderId="2" xfId="0" applyNumberFormat="1" applyFill="1" applyBorder="1"/>
    <xf numFmtId="3" fontId="0" fillId="3" borderId="3" xfId="0" applyNumberFormat="1" applyFill="1" applyBorder="1"/>
    <xf numFmtId="3" fontId="0" fillId="3" borderId="0" xfId="0" applyNumberFormat="1" applyFill="1"/>
    <xf numFmtId="3" fontId="0" fillId="4" borderId="0" xfId="0" applyNumberFormat="1" applyFill="1"/>
    <xf numFmtId="3" fontId="0" fillId="4" borderId="1" xfId="0" applyNumberFormat="1" applyFill="1" applyBorder="1"/>
    <xf numFmtId="3" fontId="0" fillId="4" borderId="2" xfId="0" applyNumberFormat="1" applyFill="1" applyBorder="1"/>
    <xf numFmtId="3" fontId="0" fillId="4" borderId="3" xfId="0" applyNumberFormat="1" applyFill="1" applyBorder="1"/>
    <xf numFmtId="3" fontId="0" fillId="0" borderId="5" xfId="0" applyNumberFormat="1" applyBorder="1"/>
    <xf numFmtId="3" fontId="5" fillId="0" borderId="6" xfId="0" applyNumberFormat="1" applyFont="1" applyBorder="1"/>
    <xf numFmtId="3" fontId="0" fillId="0" borderId="4" xfId="0" applyNumberFormat="1" applyBorder="1"/>
    <xf numFmtId="3" fontId="0" fillId="0" borderId="6" xfId="0" applyNumberFormat="1" applyBorder="1"/>
    <xf numFmtId="3" fontId="0" fillId="0" borderId="5" xfId="0" applyNumberFormat="1" applyFill="1" applyBorder="1"/>
    <xf numFmtId="3" fontId="0" fillId="3" borderId="4" xfId="0" applyNumberFormat="1" applyFill="1" applyBorder="1"/>
    <xf numFmtId="3" fontId="0" fillId="3" borderId="5" xfId="0" applyNumberFormat="1" applyFill="1" applyBorder="1"/>
    <xf numFmtId="3" fontId="0" fillId="3" borderId="11" xfId="0" applyNumberFormat="1" applyFill="1" applyBorder="1"/>
    <xf numFmtId="0" fontId="0" fillId="4" borderId="4" xfId="0" applyFill="1" applyBorder="1"/>
    <xf numFmtId="0" fontId="0" fillId="4" borderId="5" xfId="0" applyFill="1" applyBorder="1"/>
    <xf numFmtId="3" fontId="0" fillId="4" borderId="5" xfId="0" applyNumberFormat="1" applyFill="1" applyBorder="1"/>
    <xf numFmtId="3" fontId="0" fillId="4" borderId="11" xfId="0" applyNumberFormat="1" applyFill="1" applyBorder="1"/>
    <xf numFmtId="3" fontId="7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left"/>
    </xf>
    <xf numFmtId="3" fontId="4" fillId="3" borderId="7" xfId="0" applyNumberFormat="1" applyFont="1" applyFill="1" applyBorder="1"/>
    <xf numFmtId="3" fontId="0" fillId="4" borderId="7" xfId="0" applyNumberFormat="1" applyFill="1" applyBorder="1"/>
    <xf numFmtId="165" fontId="8" fillId="0" borderId="0" xfId="0" applyNumberFormat="1" applyFont="1" applyAlignment="1">
      <alignment horizontal="left"/>
    </xf>
    <xf numFmtId="0" fontId="0" fillId="0" borderId="0" xfId="0" applyFill="1"/>
    <xf numFmtId="0" fontId="0" fillId="4" borderId="12" xfId="0" applyFill="1" applyBorder="1"/>
    <xf numFmtId="3" fontId="0" fillId="4" borderId="12" xfId="0" applyNumberFormat="1" applyFill="1" applyBorder="1"/>
    <xf numFmtId="3" fontId="0" fillId="4" borderId="4" xfId="0" applyNumberFormat="1" applyFill="1" applyBorder="1"/>
    <xf numFmtId="0" fontId="4" fillId="5" borderId="0" xfId="0" applyFont="1" applyFill="1"/>
    <xf numFmtId="165" fontId="5" fillId="5" borderId="0" xfId="0" applyNumberFormat="1" applyFont="1" applyFill="1" applyAlignment="1">
      <alignment horizontal="left"/>
    </xf>
    <xf numFmtId="0" fontId="0" fillId="0" borderId="0" xfId="0" applyFill="1" applyAlignment="1">
      <alignment horizontal="center" vertical="center"/>
    </xf>
    <xf numFmtId="3" fontId="0" fillId="5" borderId="0" xfId="0" applyNumberFormat="1" applyFill="1"/>
    <xf numFmtId="3" fontId="0" fillId="5" borderId="0" xfId="0" applyNumberFormat="1" applyFill="1" applyAlignment="1">
      <alignment horizontal="left"/>
    </xf>
    <xf numFmtId="3" fontId="0" fillId="0" borderId="1" xfId="0" applyNumberFormat="1" applyFill="1" applyBorder="1"/>
    <xf numFmtId="3" fontId="0" fillId="0" borderId="3" xfId="0" applyNumberFormat="1" applyFill="1" applyBorder="1"/>
    <xf numFmtId="3" fontId="0" fillId="0" borderId="0" xfId="0" applyNumberFormat="1" applyFill="1" applyAlignment="1">
      <alignment horizontal="center" vertical="center"/>
    </xf>
    <xf numFmtId="3" fontId="0" fillId="0" borderId="4" xfId="0" applyNumberFormat="1" applyFill="1" applyBorder="1"/>
    <xf numFmtId="3" fontId="0" fillId="0" borderId="6" xfId="0" applyNumberFormat="1" applyFill="1" applyBorder="1"/>
    <xf numFmtId="3" fontId="7" fillId="0" borderId="0" xfId="0" applyNumberFormat="1" applyFont="1" applyFill="1" applyAlignment="1">
      <alignment horizontal="right"/>
    </xf>
    <xf numFmtId="166" fontId="0" fillId="5" borderId="0" xfId="0" applyNumberFormat="1" applyFill="1" applyAlignment="1">
      <alignment horizontal="left"/>
    </xf>
    <xf numFmtId="3" fontId="7" fillId="0" borderId="0" xfId="0" applyNumberFormat="1" applyFont="1" applyFill="1" applyAlignment="1">
      <alignment horizontal="left"/>
    </xf>
    <xf numFmtId="166" fontId="0" fillId="0" borderId="0" xfId="0" applyNumberFormat="1"/>
    <xf numFmtId="3" fontId="0" fillId="6" borderId="2" xfId="0" applyNumberFormat="1" applyFill="1" applyBorder="1"/>
    <xf numFmtId="3" fontId="0" fillId="6" borderId="3" xfId="0" applyNumberFormat="1" applyFill="1" applyBorder="1"/>
    <xf numFmtId="3" fontId="4" fillId="0" borderId="5" xfId="0" applyNumberFormat="1" applyFont="1" applyBorder="1"/>
    <xf numFmtId="3" fontId="0" fillId="3" borderId="6" xfId="0" applyNumberFormat="1" applyFill="1" applyBorder="1"/>
    <xf numFmtId="3" fontId="0" fillId="6" borderId="5" xfId="0" applyNumberFormat="1" applyFill="1" applyBorder="1"/>
    <xf numFmtId="3" fontId="0" fillId="6" borderId="0" xfId="0" applyNumberFormat="1" applyFill="1"/>
    <xf numFmtId="3" fontId="0" fillId="6" borderId="11" xfId="0" applyNumberFormat="1" applyFill="1" applyBorder="1"/>
    <xf numFmtId="3" fontId="4" fillId="3" borderId="0" xfId="0" applyNumberFormat="1" applyFont="1" applyFill="1"/>
    <xf numFmtId="3" fontId="0" fillId="6" borderId="7" xfId="0" applyNumberFormat="1" applyFill="1" applyBorder="1"/>
    <xf numFmtId="3" fontId="0" fillId="6" borderId="8" xfId="0" applyNumberFormat="1" applyFill="1" applyBorder="1"/>
    <xf numFmtId="0" fontId="4" fillId="3" borderId="0" xfId="0" applyFont="1" applyFill="1"/>
    <xf numFmtId="10" fontId="4" fillId="3" borderId="0" xfId="0" applyNumberFormat="1" applyFont="1" applyFill="1"/>
    <xf numFmtId="0" fontId="0" fillId="6" borderId="9" xfId="0" applyFill="1" applyBorder="1"/>
    <xf numFmtId="9" fontId="1" fillId="6" borderId="10" xfId="1" applyFill="1" applyBorder="1"/>
    <xf numFmtId="0" fontId="4" fillId="0" borderId="0" xfId="0" applyFont="1" applyFill="1"/>
    <xf numFmtId="165" fontId="5" fillId="0" borderId="0" xfId="0" applyNumberFormat="1" applyFont="1" applyFill="1" applyAlignment="1">
      <alignment horizontal="left"/>
    </xf>
    <xf numFmtId="3" fontId="0" fillId="0" borderId="0" xfId="0" applyNumberFormat="1" applyFill="1" applyAlignment="1">
      <alignment horizontal="left"/>
    </xf>
    <xf numFmtId="3" fontId="5" fillId="0" borderId="0" xfId="0" applyNumberFormat="1" applyFont="1"/>
    <xf numFmtId="166" fontId="0" fillId="0" borderId="0" xfId="0" applyNumberFormat="1" applyFill="1" applyAlignment="1">
      <alignment horizontal="left"/>
    </xf>
    <xf numFmtId="0" fontId="4" fillId="7" borderId="0" xfId="0" applyFont="1" applyFill="1"/>
    <xf numFmtId="165" fontId="5" fillId="7" borderId="0" xfId="0" applyNumberFormat="1" applyFont="1" applyFill="1" applyAlignment="1">
      <alignment horizontal="left"/>
    </xf>
    <xf numFmtId="3" fontId="0" fillId="7" borderId="0" xfId="0" applyNumberFormat="1" applyFill="1"/>
    <xf numFmtId="3" fontId="0" fillId="7" borderId="0" xfId="0" applyNumberFormat="1" applyFill="1" applyAlignment="1">
      <alignment horizontal="left"/>
    </xf>
    <xf numFmtId="166" fontId="0" fillId="7" borderId="0" xfId="0" applyNumberFormat="1" applyFill="1" applyAlignment="1">
      <alignment horizontal="left"/>
    </xf>
    <xf numFmtId="3" fontId="5" fillId="0" borderId="0" xfId="0" applyNumberFormat="1" applyFont="1" applyFill="1"/>
    <xf numFmtId="9" fontId="4" fillId="3" borderId="8" xfId="1" applyFont="1" applyFill="1" applyBorder="1"/>
    <xf numFmtId="166" fontId="6" fillId="0" borderId="0" xfId="0" applyNumberFormat="1" applyFont="1"/>
    <xf numFmtId="166" fontId="6" fillId="0" borderId="0" xfId="0" applyNumberFormat="1" applyFont="1" applyFill="1" applyAlignment="1">
      <alignment horizontal="left"/>
    </xf>
    <xf numFmtId="3" fontId="7" fillId="3" borderId="0" xfId="0" applyNumberFormat="1" applyFont="1" applyFill="1" applyAlignment="1">
      <alignment horizontal="left"/>
    </xf>
    <xf numFmtId="165" fontId="8" fillId="3" borderId="0" xfId="0" applyNumberFormat="1" applyFont="1" applyFill="1" applyAlignment="1">
      <alignment horizontal="left"/>
    </xf>
    <xf numFmtId="9" fontId="5" fillId="3" borderId="8" xfId="1" applyFont="1" applyFill="1" applyBorder="1" applyAlignment="1">
      <alignment horizontal="left"/>
    </xf>
    <xf numFmtId="3" fontId="0" fillId="3" borderId="13" xfId="0" applyNumberFormat="1" applyFill="1" applyBorder="1"/>
    <xf numFmtId="3" fontId="0" fillId="3" borderId="14" xfId="0" applyNumberFormat="1" applyFill="1" applyBorder="1" applyAlignment="1">
      <alignment horizontal="left"/>
    </xf>
    <xf numFmtId="3" fontId="0" fillId="3" borderId="15" xfId="0" applyNumberFormat="1" applyFill="1" applyBorder="1"/>
    <xf numFmtId="3" fontId="0" fillId="3" borderId="9" xfId="0" applyNumberFormat="1" applyFill="1" applyBorder="1"/>
    <xf numFmtId="166" fontId="0" fillId="3" borderId="10" xfId="0" applyNumberFormat="1" applyFill="1" applyBorder="1" applyAlignment="1">
      <alignment horizontal="left"/>
    </xf>
    <xf numFmtId="0" fontId="0" fillId="4" borderId="13" xfId="0" applyFill="1" applyBorder="1"/>
    <xf numFmtId="9" fontId="1" fillId="4" borderId="14" xfId="1" applyFill="1" applyBorder="1"/>
    <xf numFmtId="0" fontId="0" fillId="8" borderId="0" xfId="0" applyFill="1"/>
    <xf numFmtId="0" fontId="0" fillId="4" borderId="10" xfId="0" applyFill="1" applyBorder="1"/>
    <xf numFmtId="3" fontId="0" fillId="2" borderId="0" xfId="0" applyNumberFormat="1" applyFill="1"/>
    <xf numFmtId="166" fontId="9" fillId="0" borderId="0" xfId="0" applyNumberFormat="1" applyFont="1" applyAlignment="1">
      <alignment horizontal="left"/>
    </xf>
    <xf numFmtId="166" fontId="9" fillId="0" borderId="0" xfId="0" applyNumberFormat="1" applyFont="1" applyAlignment="1">
      <alignment horizontal="right"/>
    </xf>
    <xf numFmtId="0" fontId="0" fillId="2" borderId="0" xfId="0" applyFill="1"/>
    <xf numFmtId="166" fontId="10" fillId="0" borderId="0" xfId="0" applyNumberFormat="1" applyFont="1"/>
    <xf numFmtId="3" fontId="0" fillId="9" borderId="3" xfId="0" applyNumberFormat="1" applyFill="1" applyBorder="1"/>
    <xf numFmtId="3" fontId="0" fillId="9" borderId="6" xfId="0" applyNumberFormat="1" applyFill="1" applyBorder="1"/>
    <xf numFmtId="3" fontId="0" fillId="10" borderId="1" xfId="0" applyNumberFormat="1" applyFill="1" applyBorder="1"/>
    <xf numFmtId="3" fontId="0" fillId="10" borderId="2" xfId="0" applyNumberFormat="1" applyFill="1" applyBorder="1"/>
    <xf numFmtId="3" fontId="0" fillId="11" borderId="2" xfId="0" applyNumberFormat="1" applyFill="1" applyBorder="1"/>
    <xf numFmtId="3" fontId="0" fillId="10" borderId="4" xfId="0" applyNumberFormat="1" applyFill="1" applyBorder="1"/>
    <xf numFmtId="3" fontId="0" fillId="10" borderId="5" xfId="0" applyNumberFormat="1" applyFill="1" applyBorder="1"/>
    <xf numFmtId="3" fontId="0" fillId="11" borderId="5" xfId="0" applyNumberFormat="1" applyFill="1" applyBorder="1"/>
    <xf numFmtId="3" fontId="0" fillId="9" borderId="2" xfId="0" applyNumberFormat="1" applyFill="1" applyBorder="1"/>
    <xf numFmtId="3" fontId="0" fillId="9" borderId="5" xfId="0" applyNumberFormat="1" applyFill="1" applyBorder="1"/>
    <xf numFmtId="3" fontId="0" fillId="0" borderId="16" xfId="0" applyNumberFormat="1" applyBorder="1"/>
    <xf numFmtId="9" fontId="1" fillId="0" borderId="17" xfId="1" applyBorder="1"/>
    <xf numFmtId="0" fontId="11" fillId="12" borderId="18" xfId="0" applyFont="1" applyFill="1" applyBorder="1" applyAlignment="1">
      <alignment horizontal="center" vertical="center"/>
    </xf>
    <xf numFmtId="3" fontId="11" fillId="12" borderId="19" xfId="0" applyNumberFormat="1" applyFont="1" applyFill="1" applyBorder="1" applyAlignment="1">
      <alignment horizontal="center" vertical="center"/>
    </xf>
    <xf numFmtId="0" fontId="11" fillId="12" borderId="19" xfId="0" applyFont="1" applyFill="1" applyBorder="1" applyAlignment="1">
      <alignment horizontal="center" vertical="center"/>
    </xf>
    <xf numFmtId="3" fontId="11" fillId="12" borderId="19" xfId="0" quotePrefix="1" applyNumberFormat="1" applyFont="1" applyFill="1" applyBorder="1" applyAlignment="1">
      <alignment horizontal="center" vertical="center"/>
    </xf>
    <xf numFmtId="3" fontId="11" fillId="12" borderId="20" xfId="0" applyNumberFormat="1" applyFont="1" applyFill="1" applyBorder="1" applyAlignment="1">
      <alignment horizontal="center" vertical="center"/>
    </xf>
  </cellXfs>
  <cellStyles count="6">
    <cellStyle name="Heading" xfId="2"/>
    <cellStyle name="Heading1" xfId="3"/>
    <cellStyle name="Normal" xfId="0" builtinId="0" customBuiltin="1"/>
    <cellStyle name="Pourcentage" xfId="1" builtinId="5" customBuiltin="1"/>
    <cellStyle name="Result" xfId="4"/>
    <cellStyle name="Result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R206"/>
  <sheetViews>
    <sheetView tabSelected="1" topLeftCell="IJ1" workbookViewId="0">
      <selection activeCell="IL17" sqref="IL17"/>
    </sheetView>
  </sheetViews>
  <sheetFormatPr baseColWidth="10" defaultRowHeight="14.25" x14ac:dyDescent="0.2"/>
  <cols>
    <col min="1" max="1" width="11.75" customWidth="1"/>
    <col min="2" max="1024" width="10.75" customWidth="1"/>
    <col min="1025" max="1025" width="11" customWidth="1"/>
  </cols>
  <sheetData>
    <row r="1" spans="1:564" x14ac:dyDescent="0.2">
      <c r="C1" s="1">
        <v>41398</v>
      </c>
      <c r="D1" s="1">
        <v>41399</v>
      </c>
      <c r="E1" s="1">
        <v>41400</v>
      </c>
      <c r="F1" s="1">
        <v>41401</v>
      </c>
      <c r="G1" s="1">
        <v>41402</v>
      </c>
      <c r="H1" s="1">
        <v>41403</v>
      </c>
      <c r="I1" s="1">
        <v>41404</v>
      </c>
      <c r="J1" s="1">
        <v>41405</v>
      </c>
      <c r="K1" s="1">
        <v>41406</v>
      </c>
      <c r="L1" s="1">
        <v>41407</v>
      </c>
      <c r="M1" s="1">
        <v>41408</v>
      </c>
      <c r="N1" s="1">
        <v>41409</v>
      </c>
      <c r="O1" s="1">
        <v>41410</v>
      </c>
      <c r="P1" s="1">
        <v>41411</v>
      </c>
      <c r="Q1" s="1">
        <v>41412</v>
      </c>
      <c r="R1" s="1">
        <v>41413</v>
      </c>
      <c r="S1" s="1">
        <v>41414</v>
      </c>
      <c r="T1" s="1">
        <v>41415</v>
      </c>
      <c r="U1" s="1">
        <v>41416</v>
      </c>
      <c r="V1" s="1">
        <v>41417</v>
      </c>
      <c r="W1" s="1">
        <v>41418</v>
      </c>
      <c r="X1" s="1">
        <v>41419</v>
      </c>
      <c r="Y1" s="1">
        <v>41420</v>
      </c>
      <c r="Z1" s="1">
        <v>41421</v>
      </c>
      <c r="AA1" s="1">
        <v>41422</v>
      </c>
      <c r="AB1" s="1">
        <v>41423</v>
      </c>
      <c r="AC1" s="1">
        <v>41424</v>
      </c>
      <c r="AD1" s="1">
        <v>41425</v>
      </c>
      <c r="AE1" s="1">
        <v>41426</v>
      </c>
      <c r="AF1" s="1">
        <v>41427</v>
      </c>
      <c r="AG1" s="1">
        <v>41428</v>
      </c>
      <c r="AH1" s="1">
        <v>41429</v>
      </c>
      <c r="AI1" s="1">
        <v>41430</v>
      </c>
      <c r="AJ1" s="1">
        <v>41431</v>
      </c>
      <c r="AK1" s="1">
        <v>41432</v>
      </c>
      <c r="AL1" s="1">
        <v>41433</v>
      </c>
      <c r="AM1" s="1">
        <v>41434</v>
      </c>
      <c r="AN1" s="1">
        <v>41435</v>
      </c>
      <c r="AO1" s="1">
        <v>41436</v>
      </c>
      <c r="AP1" s="1">
        <v>41437</v>
      </c>
      <c r="AQ1" s="1">
        <v>41438</v>
      </c>
      <c r="AR1" s="1">
        <v>41439</v>
      </c>
      <c r="AS1" s="1">
        <v>41440</v>
      </c>
      <c r="AT1" s="1">
        <v>41441</v>
      </c>
      <c r="AU1" s="1">
        <v>41442</v>
      </c>
      <c r="AV1" s="1">
        <v>41443</v>
      </c>
      <c r="AW1" s="1">
        <v>41444</v>
      </c>
      <c r="AX1" s="1">
        <v>41445</v>
      </c>
      <c r="AY1" s="1">
        <v>41446</v>
      </c>
      <c r="AZ1" s="1">
        <v>41447</v>
      </c>
      <c r="BA1" s="1">
        <v>41448</v>
      </c>
      <c r="BB1" s="1">
        <v>41449</v>
      </c>
      <c r="BC1" s="1">
        <v>41450</v>
      </c>
      <c r="BD1" s="1">
        <v>41451</v>
      </c>
      <c r="BE1" s="1">
        <v>41452</v>
      </c>
      <c r="BF1" s="1">
        <v>41453</v>
      </c>
      <c r="BG1" s="1">
        <v>41454</v>
      </c>
      <c r="BH1" s="1">
        <v>41455</v>
      </c>
      <c r="BI1" s="1">
        <v>41456</v>
      </c>
      <c r="BJ1" s="1">
        <v>41457</v>
      </c>
      <c r="BK1" s="1">
        <v>41458</v>
      </c>
      <c r="BL1" s="1">
        <v>41459</v>
      </c>
      <c r="BM1" s="1">
        <v>41460</v>
      </c>
      <c r="BN1" s="1">
        <v>41461</v>
      </c>
      <c r="BO1" s="1">
        <v>41462</v>
      </c>
      <c r="BP1" s="1">
        <v>41463</v>
      </c>
      <c r="BQ1" s="1">
        <v>41464</v>
      </c>
      <c r="BR1" s="1">
        <v>41465</v>
      </c>
      <c r="BS1" s="1">
        <v>41466</v>
      </c>
      <c r="BT1" s="1">
        <v>41467</v>
      </c>
      <c r="BU1" s="1">
        <v>41468</v>
      </c>
      <c r="BV1" s="1">
        <v>41469</v>
      </c>
      <c r="BW1" s="1">
        <v>41470</v>
      </c>
      <c r="BX1" s="1">
        <v>41471</v>
      </c>
      <c r="BY1" s="1">
        <v>41472</v>
      </c>
      <c r="BZ1" s="1">
        <v>41473</v>
      </c>
      <c r="CA1" s="1">
        <v>41474</v>
      </c>
      <c r="CB1" s="1">
        <v>41475</v>
      </c>
      <c r="CC1" s="1">
        <v>41476</v>
      </c>
      <c r="CD1" s="1">
        <v>41477</v>
      </c>
      <c r="CE1" s="1">
        <v>41478</v>
      </c>
      <c r="CF1" s="1">
        <v>41479</v>
      </c>
      <c r="CG1" s="1">
        <v>41480</v>
      </c>
      <c r="CH1" s="1">
        <v>41481</v>
      </c>
      <c r="CI1" s="1">
        <v>41482</v>
      </c>
      <c r="CJ1" s="1">
        <v>41483</v>
      </c>
      <c r="CK1" s="1">
        <v>41484</v>
      </c>
      <c r="CL1" s="1">
        <v>41485</v>
      </c>
      <c r="CM1" s="1">
        <v>41486</v>
      </c>
      <c r="CN1" s="1">
        <v>41487</v>
      </c>
      <c r="CO1" s="1">
        <v>41488</v>
      </c>
      <c r="CP1" s="1">
        <v>41489</v>
      </c>
      <c r="CQ1" s="1">
        <v>41490</v>
      </c>
      <c r="CR1" s="1">
        <v>41491</v>
      </c>
      <c r="CS1" s="1">
        <v>41492</v>
      </c>
      <c r="CT1" s="1">
        <v>41493</v>
      </c>
      <c r="CU1" s="1">
        <v>41494</v>
      </c>
      <c r="CV1" s="1">
        <v>41495</v>
      </c>
      <c r="CW1" s="1">
        <v>41496</v>
      </c>
      <c r="CX1" s="1">
        <v>41497</v>
      </c>
      <c r="CY1" s="1">
        <v>41498</v>
      </c>
      <c r="CZ1" s="1">
        <v>41499</v>
      </c>
      <c r="DA1" s="1">
        <v>41500</v>
      </c>
      <c r="DB1" s="1">
        <v>41501</v>
      </c>
      <c r="DC1" s="1">
        <v>41502</v>
      </c>
      <c r="DD1" s="1">
        <v>41503</v>
      </c>
      <c r="DE1" s="1">
        <v>41504</v>
      </c>
      <c r="DF1" s="1">
        <v>41505</v>
      </c>
      <c r="DG1" s="1">
        <v>41506</v>
      </c>
      <c r="DH1" s="1">
        <v>41507</v>
      </c>
      <c r="DI1" s="1">
        <v>41508</v>
      </c>
      <c r="DJ1" s="1">
        <v>41509</v>
      </c>
      <c r="DK1" s="1">
        <v>41510</v>
      </c>
      <c r="DL1" s="1">
        <v>41511</v>
      </c>
      <c r="DM1" s="1">
        <v>41512</v>
      </c>
      <c r="DN1" s="1">
        <v>41513</v>
      </c>
      <c r="DO1" s="1">
        <v>41514</v>
      </c>
      <c r="DP1" s="1">
        <v>41515</v>
      </c>
      <c r="DQ1" s="1">
        <v>41516</v>
      </c>
      <c r="DR1" s="1">
        <v>41517</v>
      </c>
      <c r="DS1" s="1">
        <v>41518</v>
      </c>
      <c r="DT1" s="1">
        <v>41519</v>
      </c>
      <c r="DU1" s="1">
        <v>41520</v>
      </c>
      <c r="DV1" s="1">
        <v>41521</v>
      </c>
      <c r="DW1" s="1">
        <v>41522</v>
      </c>
      <c r="DX1" s="1">
        <v>41523</v>
      </c>
      <c r="DY1" s="1">
        <v>41524</v>
      </c>
      <c r="DZ1" s="1">
        <v>41525</v>
      </c>
      <c r="EA1" s="1">
        <v>41526</v>
      </c>
      <c r="EB1" s="1">
        <v>41527</v>
      </c>
      <c r="EC1" s="1">
        <v>41528</v>
      </c>
      <c r="ED1" s="1">
        <v>41529</v>
      </c>
      <c r="EE1" s="1">
        <v>41530</v>
      </c>
      <c r="EF1" s="1">
        <v>41531</v>
      </c>
      <c r="EG1" s="1">
        <v>41532</v>
      </c>
      <c r="EH1" s="1">
        <v>41533</v>
      </c>
      <c r="EI1" s="1">
        <v>41534</v>
      </c>
      <c r="EJ1" s="1">
        <v>41535</v>
      </c>
      <c r="EK1" s="1">
        <v>41536</v>
      </c>
      <c r="EL1" s="1">
        <v>41537</v>
      </c>
      <c r="EM1" s="1">
        <v>41538</v>
      </c>
      <c r="EN1" s="1">
        <v>41539</v>
      </c>
      <c r="EO1" s="1">
        <v>41540</v>
      </c>
      <c r="EP1" s="1">
        <v>41541</v>
      </c>
      <c r="EQ1" s="1">
        <v>41542</v>
      </c>
      <c r="ER1" s="1">
        <v>41543</v>
      </c>
      <c r="ES1" s="1">
        <v>41544</v>
      </c>
      <c r="ET1" s="1">
        <v>41545</v>
      </c>
      <c r="EU1" s="1">
        <v>41546</v>
      </c>
      <c r="EV1" s="1">
        <v>41547</v>
      </c>
      <c r="EW1" s="1">
        <v>41548</v>
      </c>
      <c r="EX1" s="1">
        <v>41549</v>
      </c>
      <c r="EY1" s="1">
        <v>41550</v>
      </c>
      <c r="EZ1" s="1">
        <v>41551</v>
      </c>
      <c r="FA1" s="1">
        <v>41552</v>
      </c>
      <c r="FB1" s="1">
        <v>41553</v>
      </c>
      <c r="FC1" s="1">
        <v>41554</v>
      </c>
      <c r="FD1" s="1">
        <v>41555</v>
      </c>
      <c r="FE1" s="1">
        <v>41556</v>
      </c>
      <c r="FF1" s="1">
        <v>41557</v>
      </c>
      <c r="FG1" s="1">
        <v>41558</v>
      </c>
      <c r="FH1" s="1">
        <v>41559</v>
      </c>
      <c r="FI1" s="1">
        <v>41560</v>
      </c>
      <c r="FJ1" s="1">
        <v>41561</v>
      </c>
      <c r="FK1" s="1">
        <v>41562</v>
      </c>
      <c r="FL1" s="1">
        <v>41563</v>
      </c>
      <c r="FM1" s="1">
        <v>41564</v>
      </c>
      <c r="FN1" s="1">
        <v>41565</v>
      </c>
      <c r="FO1" s="1">
        <v>41566</v>
      </c>
      <c r="FP1" s="1">
        <v>41567</v>
      </c>
      <c r="FQ1" s="1">
        <v>41568</v>
      </c>
      <c r="FR1" s="1">
        <v>41569</v>
      </c>
      <c r="FS1" s="1">
        <v>41570</v>
      </c>
      <c r="FT1" s="1">
        <v>41571</v>
      </c>
      <c r="FU1" s="1">
        <v>41572</v>
      </c>
      <c r="FV1" s="1">
        <v>41573</v>
      </c>
      <c r="FW1" s="1">
        <v>41574</v>
      </c>
      <c r="FX1" s="1">
        <v>41575</v>
      </c>
      <c r="FY1" s="1">
        <v>41576</v>
      </c>
      <c r="FZ1" s="1">
        <v>41577</v>
      </c>
      <c r="GA1" s="1">
        <v>41578</v>
      </c>
      <c r="GB1" s="1">
        <v>41579</v>
      </c>
      <c r="GC1" s="1">
        <v>41580</v>
      </c>
      <c r="GD1" s="1">
        <v>41581</v>
      </c>
      <c r="GE1" s="1">
        <v>41582</v>
      </c>
      <c r="GF1" s="1">
        <v>41583</v>
      </c>
      <c r="GG1" s="1">
        <v>41584</v>
      </c>
      <c r="GH1" s="1">
        <v>41585</v>
      </c>
      <c r="GI1" s="1">
        <v>41586</v>
      </c>
      <c r="GJ1" s="1">
        <v>41587</v>
      </c>
      <c r="GK1" s="1">
        <v>41588</v>
      </c>
      <c r="GL1" s="1">
        <v>41589</v>
      </c>
      <c r="GM1" s="1">
        <v>41590</v>
      </c>
      <c r="GN1" s="1">
        <v>41591</v>
      </c>
      <c r="GO1" s="1">
        <v>41592</v>
      </c>
      <c r="GP1" s="1">
        <v>41593</v>
      </c>
      <c r="GQ1" s="1">
        <v>41594</v>
      </c>
      <c r="GR1" s="1">
        <v>41595</v>
      </c>
      <c r="GS1" s="1">
        <v>41596</v>
      </c>
      <c r="GT1" s="1">
        <v>41597</v>
      </c>
      <c r="GU1" s="1">
        <v>41598</v>
      </c>
      <c r="GV1" s="1">
        <v>41599</v>
      </c>
      <c r="GW1" s="1">
        <v>41600</v>
      </c>
      <c r="GX1" s="1">
        <v>41601</v>
      </c>
      <c r="GY1" s="1">
        <v>41602</v>
      </c>
      <c r="GZ1" s="1">
        <v>41603</v>
      </c>
      <c r="HA1" s="1">
        <v>41604</v>
      </c>
      <c r="HB1" s="2">
        <v>41605</v>
      </c>
      <c r="HC1" s="1">
        <v>41606</v>
      </c>
      <c r="HD1" s="1">
        <v>41607</v>
      </c>
      <c r="HE1" s="2">
        <v>41608</v>
      </c>
      <c r="HF1" s="3">
        <v>41609</v>
      </c>
      <c r="HG1" s="3">
        <v>41610</v>
      </c>
      <c r="HH1" s="3">
        <v>41611</v>
      </c>
      <c r="HI1" s="3">
        <v>41612</v>
      </c>
      <c r="HJ1" s="3">
        <v>41613</v>
      </c>
      <c r="HK1" s="3">
        <v>41614</v>
      </c>
      <c r="HL1" s="3">
        <v>41615</v>
      </c>
      <c r="HM1" s="4">
        <v>41616</v>
      </c>
      <c r="HN1" s="3">
        <v>41617</v>
      </c>
      <c r="HO1" s="3">
        <v>41618</v>
      </c>
      <c r="HP1" s="5">
        <v>41619</v>
      </c>
      <c r="HQ1" s="3">
        <v>41620</v>
      </c>
      <c r="HR1" s="3">
        <v>41621</v>
      </c>
      <c r="HS1" s="3">
        <v>41622</v>
      </c>
      <c r="HT1" s="3">
        <v>41623</v>
      </c>
      <c r="HU1" s="3">
        <v>41624</v>
      </c>
      <c r="HV1" s="3">
        <v>41625</v>
      </c>
      <c r="HW1" s="3">
        <v>41626</v>
      </c>
      <c r="HX1" s="3">
        <v>41627</v>
      </c>
      <c r="HY1" s="3">
        <v>41628</v>
      </c>
      <c r="HZ1" s="3">
        <v>41629</v>
      </c>
      <c r="IA1" s="3">
        <v>41630</v>
      </c>
      <c r="IB1" s="3">
        <v>41631</v>
      </c>
      <c r="IC1" s="3">
        <v>41632</v>
      </c>
      <c r="ID1" s="3">
        <v>41633</v>
      </c>
      <c r="IE1" s="3">
        <v>41634</v>
      </c>
      <c r="IF1" s="3">
        <v>41635</v>
      </c>
      <c r="IG1" s="3">
        <v>41636</v>
      </c>
      <c r="IH1" s="3">
        <v>41637</v>
      </c>
      <c r="II1" s="3">
        <v>41638</v>
      </c>
      <c r="IJ1" s="3">
        <v>41639</v>
      </c>
    </row>
    <row r="2" spans="1:564" ht="15" thickBot="1" x14ac:dyDescent="0.25"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7"/>
      <c r="HG2" s="7"/>
      <c r="HH2" s="7"/>
      <c r="HI2" s="7"/>
      <c r="HJ2" s="8"/>
      <c r="HK2" s="8"/>
      <c r="HL2" s="8"/>
      <c r="HM2" s="8"/>
      <c r="HN2" s="8"/>
      <c r="HO2" s="8"/>
      <c r="HP2" s="8"/>
      <c r="HQ2" s="8" t="s">
        <v>0</v>
      </c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K2" s="11"/>
    </row>
    <row r="3" spans="1:564" ht="18.75" x14ac:dyDescent="0.25">
      <c r="A3" s="9" t="s">
        <v>1</v>
      </c>
      <c r="B3" s="10">
        <f>B5/B4</f>
        <v>0.42127090301003345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7"/>
      <c r="HG3" s="7"/>
      <c r="HH3" s="7"/>
      <c r="HI3" s="7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K3" s="146" t="s">
        <v>9</v>
      </c>
    </row>
    <row r="4" spans="1:564" ht="18.75" x14ac:dyDescent="0.2">
      <c r="A4" s="12" t="s">
        <v>2</v>
      </c>
      <c r="B4" s="13">
        <f>SUM(C4:ZZ4)</f>
        <v>3289000</v>
      </c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  <c r="BO4" s="14"/>
      <c r="BP4" s="14"/>
      <c r="BQ4" s="14"/>
      <c r="BR4" s="14"/>
      <c r="BS4" s="14"/>
      <c r="BT4" s="14"/>
      <c r="BU4" s="14"/>
      <c r="BV4" s="14"/>
      <c r="BW4" s="14"/>
      <c r="BX4" s="14"/>
      <c r="BY4" s="14"/>
      <c r="BZ4" s="14"/>
      <c r="CA4" s="14"/>
      <c r="CB4" s="14"/>
      <c r="CC4" s="14"/>
      <c r="CD4" s="14"/>
      <c r="CE4" s="14"/>
      <c r="CF4" s="14"/>
      <c r="CG4" s="14"/>
      <c r="CH4" s="14"/>
      <c r="CI4" s="14"/>
      <c r="CJ4" s="14"/>
      <c r="CK4" s="14"/>
      <c r="CL4" s="14"/>
      <c r="CM4" s="14"/>
      <c r="CN4" s="14"/>
      <c r="CO4" s="14"/>
      <c r="CP4" s="14"/>
      <c r="CQ4" s="14"/>
      <c r="CR4" s="14"/>
      <c r="CS4" s="14"/>
      <c r="CT4" s="14"/>
      <c r="CU4" s="14"/>
      <c r="CV4" s="14"/>
      <c r="CW4" s="14"/>
      <c r="CX4" s="14"/>
      <c r="CY4" s="14"/>
      <c r="CZ4" s="14"/>
      <c r="DA4" s="14"/>
      <c r="DB4" s="14"/>
      <c r="DC4" s="14"/>
      <c r="DD4" s="14"/>
      <c r="DE4" s="14"/>
      <c r="DF4" s="14"/>
      <c r="DG4" s="14"/>
      <c r="DH4" s="14"/>
      <c r="DI4" s="14"/>
      <c r="DJ4" s="14"/>
      <c r="DK4" s="14"/>
      <c r="DL4" s="14"/>
      <c r="DM4" s="14"/>
      <c r="DN4" s="14"/>
      <c r="DO4" s="14"/>
      <c r="DP4" s="14"/>
      <c r="DQ4" s="14"/>
      <c r="DR4" s="14"/>
      <c r="DS4" s="14"/>
      <c r="DT4" s="14"/>
      <c r="DU4" s="14"/>
      <c r="DV4" s="14"/>
      <c r="DW4" s="14"/>
      <c r="DX4" s="14"/>
      <c r="DY4" s="14"/>
      <c r="DZ4" s="14"/>
      <c r="EA4" s="14"/>
      <c r="EB4" s="14"/>
      <c r="EC4" s="14"/>
      <c r="ED4" s="14"/>
      <c r="EE4" s="14"/>
      <c r="EF4" s="14"/>
      <c r="EG4" s="14"/>
      <c r="EH4" s="14"/>
      <c r="EI4" s="14"/>
      <c r="EJ4" s="14"/>
      <c r="EK4" s="14"/>
      <c r="EL4" s="14"/>
      <c r="EM4" s="14"/>
      <c r="EN4" s="14"/>
      <c r="EO4" s="14"/>
      <c r="EP4" s="14"/>
      <c r="EQ4" s="14"/>
      <c r="ER4" s="14"/>
      <c r="ES4" s="14"/>
      <c r="ET4" s="14"/>
      <c r="EU4" s="14"/>
      <c r="EV4" s="14"/>
      <c r="EW4" s="14"/>
      <c r="EX4" s="14"/>
      <c r="EY4" s="14"/>
      <c r="EZ4" s="14"/>
      <c r="FA4" s="14"/>
      <c r="FB4" s="14"/>
      <c r="FC4" s="14"/>
      <c r="FD4" s="14"/>
      <c r="FE4" s="14"/>
      <c r="FF4" s="14"/>
      <c r="FG4" s="14"/>
      <c r="FH4" s="14"/>
      <c r="FI4" s="14"/>
      <c r="FJ4" s="14"/>
      <c r="FK4" s="14"/>
      <c r="FL4" s="14"/>
      <c r="FM4" s="14"/>
      <c r="FN4" s="14"/>
      <c r="FO4" s="14"/>
      <c r="FP4" s="14"/>
      <c r="FQ4" s="14"/>
      <c r="FR4" s="14"/>
      <c r="FS4" s="14"/>
      <c r="FT4" s="14"/>
      <c r="FU4" s="14"/>
      <c r="FV4" s="14"/>
      <c r="FW4" s="14"/>
      <c r="FX4" s="14"/>
      <c r="FY4" s="14"/>
      <c r="FZ4" s="14"/>
      <c r="GA4" s="14"/>
      <c r="GB4" s="14"/>
      <c r="GC4" s="14"/>
      <c r="GD4" s="14"/>
      <c r="GE4" s="14"/>
      <c r="GF4" s="14"/>
      <c r="GG4" s="14"/>
      <c r="GH4" s="14"/>
      <c r="GI4" s="14"/>
      <c r="GJ4" s="14"/>
      <c r="GK4" s="14"/>
      <c r="GL4" s="14"/>
      <c r="GM4" s="14"/>
      <c r="GN4" s="14">
        <v>69000</v>
      </c>
      <c r="GO4" s="14">
        <v>69000</v>
      </c>
      <c r="GP4" s="14"/>
      <c r="GQ4" s="14"/>
      <c r="GR4" s="15"/>
      <c r="GS4" s="15"/>
      <c r="GT4" s="15"/>
      <c r="GU4" s="16">
        <v>206000</v>
      </c>
      <c r="GV4" s="17">
        <v>148000</v>
      </c>
      <c r="GW4" s="17">
        <v>110000</v>
      </c>
      <c r="GX4" s="17">
        <v>111000</v>
      </c>
      <c r="GY4" s="17">
        <v>111000</v>
      </c>
      <c r="GZ4" s="17">
        <v>111000</v>
      </c>
      <c r="HA4" s="17">
        <v>111000</v>
      </c>
      <c r="HB4" s="17">
        <v>111000</v>
      </c>
      <c r="HC4" s="17">
        <v>122000</v>
      </c>
      <c r="HD4" s="17">
        <v>122000</v>
      </c>
      <c r="HE4" s="17">
        <v>122000</v>
      </c>
      <c r="HF4" s="17">
        <v>122000</v>
      </c>
      <c r="HG4" s="17">
        <v>122000</v>
      </c>
      <c r="HH4" s="18">
        <v>122000</v>
      </c>
      <c r="HI4" s="15"/>
      <c r="HJ4" s="19"/>
      <c r="HK4" s="19"/>
      <c r="HL4" s="20">
        <v>122000</v>
      </c>
      <c r="HM4" s="21">
        <v>122000</v>
      </c>
      <c r="HN4" s="21">
        <v>122000</v>
      </c>
      <c r="HO4" s="21">
        <v>122000</v>
      </c>
      <c r="HP4" s="21">
        <v>122000</v>
      </c>
      <c r="HQ4" s="21"/>
      <c r="HR4" s="21">
        <v>122000</v>
      </c>
      <c r="HS4" s="21">
        <v>122000</v>
      </c>
      <c r="HT4" s="21"/>
      <c r="HU4" s="21">
        <v>122000</v>
      </c>
      <c r="HV4" s="21"/>
      <c r="HW4" s="21">
        <v>122000</v>
      </c>
      <c r="HX4" s="21">
        <v>122000</v>
      </c>
      <c r="HY4" s="21">
        <v>60000</v>
      </c>
      <c r="HZ4" s="22"/>
      <c r="IA4" s="19"/>
      <c r="IB4" s="19"/>
      <c r="IC4" s="19">
        <v>60000</v>
      </c>
      <c r="ID4" s="19"/>
      <c r="IE4" s="19"/>
      <c r="IF4" s="19"/>
      <c r="IG4" s="19"/>
      <c r="IH4" s="19"/>
      <c r="II4" s="19"/>
      <c r="IJ4" s="14">
        <v>60000</v>
      </c>
      <c r="IK4" s="147" t="s">
        <v>24</v>
      </c>
      <c r="IL4" s="14"/>
      <c r="IM4" s="14"/>
      <c r="IN4" s="14"/>
      <c r="IO4" s="14"/>
      <c r="IP4" s="14"/>
      <c r="IQ4" s="14"/>
      <c r="IR4" s="14"/>
      <c r="IS4" s="14"/>
      <c r="IT4" s="14"/>
      <c r="IU4" s="14"/>
      <c r="IV4" s="14"/>
      <c r="IW4" s="14"/>
      <c r="IX4" s="14"/>
      <c r="IY4" s="14"/>
      <c r="IZ4" s="14"/>
      <c r="JA4" s="14"/>
      <c r="JB4" s="14"/>
      <c r="JC4" s="14"/>
      <c r="JD4" s="14"/>
      <c r="JE4" s="14"/>
      <c r="JF4" s="14"/>
      <c r="JG4" s="14"/>
      <c r="JH4" s="14"/>
      <c r="JI4" s="14"/>
      <c r="JJ4" s="14"/>
      <c r="JK4" s="14"/>
      <c r="JL4" s="14"/>
      <c r="JM4" s="14"/>
      <c r="JN4" s="14"/>
      <c r="JO4" s="14"/>
      <c r="JP4" s="14"/>
      <c r="JQ4" s="14"/>
      <c r="JR4" s="14"/>
      <c r="JS4" s="14"/>
      <c r="JT4" s="14"/>
      <c r="JU4" s="14"/>
      <c r="JV4" s="14"/>
      <c r="JW4" s="14"/>
      <c r="JX4" s="14"/>
      <c r="JY4" s="14"/>
      <c r="JZ4" s="14"/>
      <c r="KA4" s="14"/>
      <c r="KB4" s="14"/>
      <c r="KC4" s="14"/>
      <c r="KD4" s="14"/>
      <c r="KE4" s="14"/>
      <c r="KF4" s="14"/>
      <c r="KG4" s="14"/>
      <c r="KH4" s="14"/>
      <c r="KI4" s="14"/>
      <c r="KJ4" s="14"/>
      <c r="KK4" s="14"/>
      <c r="KL4" s="14"/>
      <c r="KM4" s="14"/>
      <c r="KN4" s="14"/>
      <c r="KO4" s="14"/>
      <c r="KP4" s="14"/>
      <c r="KQ4" s="14"/>
      <c r="KR4" s="14"/>
      <c r="KS4" s="14"/>
      <c r="KT4" s="14"/>
      <c r="KU4" s="14"/>
      <c r="KV4" s="14"/>
      <c r="KW4" s="14"/>
      <c r="KX4" s="14"/>
      <c r="KY4" s="14"/>
      <c r="KZ4" s="14"/>
      <c r="LA4" s="14"/>
      <c r="LB4" s="14"/>
      <c r="LC4" s="14"/>
      <c r="LD4" s="14"/>
      <c r="LE4" s="14"/>
      <c r="LF4" s="14"/>
      <c r="LG4" s="14"/>
      <c r="LH4" s="14"/>
      <c r="LI4" s="14"/>
      <c r="LJ4" s="14"/>
      <c r="LK4" s="14"/>
      <c r="LL4" s="14"/>
      <c r="LM4" s="14"/>
      <c r="LN4" s="14"/>
      <c r="LO4" s="14"/>
      <c r="LP4" s="14"/>
      <c r="LQ4" s="14"/>
      <c r="LR4" s="14"/>
      <c r="LS4" s="14"/>
      <c r="LT4" s="14"/>
      <c r="LU4" s="14"/>
      <c r="LV4" s="14"/>
      <c r="LW4" s="14"/>
      <c r="LX4" s="14"/>
      <c r="LY4" s="14"/>
      <c r="LZ4" s="14"/>
      <c r="MA4" s="14"/>
      <c r="MB4" s="14"/>
      <c r="MC4" s="14"/>
      <c r="MD4" s="14"/>
      <c r="ME4" s="14"/>
      <c r="MF4" s="14"/>
      <c r="MG4" s="14"/>
      <c r="MH4" s="14"/>
      <c r="MI4" s="14"/>
      <c r="MJ4" s="14"/>
      <c r="MK4" s="14"/>
      <c r="ML4" s="14"/>
      <c r="MM4" s="14"/>
      <c r="MN4" s="14"/>
      <c r="MO4" s="14"/>
      <c r="MP4" s="14"/>
      <c r="MQ4" s="14"/>
      <c r="MR4" s="14"/>
      <c r="MS4" s="14"/>
      <c r="MT4" s="14"/>
      <c r="MU4" s="14"/>
      <c r="MV4" s="14"/>
      <c r="MW4" s="14"/>
      <c r="MX4" s="14"/>
      <c r="MY4" s="14"/>
      <c r="MZ4" s="14"/>
      <c r="NA4" s="14"/>
      <c r="NB4" s="14"/>
      <c r="NC4" s="14"/>
      <c r="ND4" s="14"/>
      <c r="NE4" s="14"/>
      <c r="NF4" s="14"/>
      <c r="NG4" s="14"/>
      <c r="NH4" s="14"/>
      <c r="NI4" s="14"/>
      <c r="NJ4" s="14"/>
      <c r="NK4" s="14"/>
      <c r="NL4" s="14"/>
      <c r="NM4" s="14"/>
      <c r="NN4" s="14"/>
      <c r="NO4" s="14"/>
      <c r="NP4" s="14"/>
      <c r="NQ4" s="14"/>
      <c r="NR4" s="14"/>
      <c r="NS4" s="14"/>
      <c r="NT4" s="14"/>
      <c r="NU4" s="14"/>
      <c r="NV4" s="14"/>
      <c r="NW4" s="14"/>
      <c r="NX4" s="14"/>
      <c r="NY4" s="14"/>
      <c r="NZ4" s="14"/>
      <c r="OA4" s="14"/>
      <c r="OB4" s="14"/>
      <c r="OC4" s="14"/>
      <c r="OD4" s="14"/>
      <c r="OE4" s="14"/>
      <c r="OF4" s="14"/>
      <c r="OG4" s="14"/>
      <c r="OH4" s="14"/>
      <c r="OI4" s="14"/>
      <c r="OJ4" s="14"/>
      <c r="OK4" s="14"/>
      <c r="OL4" s="14"/>
      <c r="OM4" s="14"/>
      <c r="ON4" s="14"/>
      <c r="OO4" s="14"/>
      <c r="OP4" s="14"/>
      <c r="OQ4" s="14"/>
      <c r="OR4" s="14"/>
      <c r="OS4" s="14"/>
      <c r="OT4" s="14"/>
      <c r="OU4" s="14"/>
      <c r="OV4" s="14"/>
      <c r="OW4" s="14"/>
      <c r="OX4" s="14"/>
      <c r="OY4" s="14"/>
      <c r="OZ4" s="14"/>
      <c r="PA4" s="14"/>
      <c r="PB4" s="14"/>
      <c r="PC4" s="14"/>
      <c r="PD4" s="14"/>
      <c r="PE4" s="14"/>
      <c r="PF4" s="14"/>
      <c r="PG4" s="14"/>
      <c r="PH4" s="14"/>
      <c r="PI4" s="14"/>
      <c r="PJ4" s="14"/>
      <c r="PK4" s="14"/>
      <c r="PL4" s="14"/>
      <c r="PM4" s="14"/>
      <c r="PN4" s="14"/>
      <c r="PO4" s="14"/>
      <c r="PP4" s="14"/>
      <c r="PQ4" s="14"/>
      <c r="PR4" s="14"/>
      <c r="PS4" s="14"/>
      <c r="PT4" s="14"/>
      <c r="PU4" s="14"/>
      <c r="PV4" s="14"/>
      <c r="PW4" s="14"/>
      <c r="PX4" s="14"/>
      <c r="PY4" s="14"/>
      <c r="PZ4" s="14"/>
      <c r="QA4" s="14"/>
      <c r="QB4" s="14"/>
      <c r="QC4" s="14"/>
      <c r="QD4" s="14"/>
      <c r="QE4" s="14"/>
      <c r="QF4" s="14"/>
      <c r="QG4" s="14"/>
      <c r="QH4" s="14"/>
      <c r="QI4" s="14"/>
      <c r="QJ4" s="14"/>
      <c r="QK4" s="14"/>
      <c r="QL4" s="14"/>
      <c r="QM4" s="14"/>
      <c r="QN4" s="14"/>
      <c r="QO4" s="14"/>
      <c r="QP4" s="14"/>
      <c r="QQ4" s="14"/>
      <c r="QR4" s="14"/>
      <c r="QS4" s="14"/>
      <c r="QT4" s="14"/>
      <c r="QU4" s="14"/>
      <c r="QV4" s="14"/>
      <c r="QW4" s="14"/>
      <c r="QX4" s="14"/>
      <c r="QY4" s="14"/>
      <c r="QZ4" s="14"/>
      <c r="RA4" s="14"/>
      <c r="RB4" s="14"/>
      <c r="RC4" s="14"/>
      <c r="RD4" s="14"/>
      <c r="RE4" s="14"/>
      <c r="RF4" s="14"/>
      <c r="RG4" s="14"/>
      <c r="RH4" s="14"/>
      <c r="RI4" s="14"/>
      <c r="RJ4" s="14"/>
      <c r="RK4" s="14"/>
      <c r="RL4" s="14"/>
      <c r="RM4" s="14"/>
      <c r="RN4" s="14"/>
      <c r="RO4" s="14"/>
      <c r="RP4" s="14"/>
      <c r="RQ4" s="24"/>
      <c r="RR4" s="24"/>
      <c r="RS4" s="24"/>
      <c r="RT4" s="24"/>
      <c r="RU4" s="24"/>
      <c r="RV4" s="24"/>
      <c r="RW4" s="24"/>
      <c r="RX4" s="24"/>
      <c r="RY4" s="24"/>
      <c r="RZ4" s="24"/>
      <c r="SA4" s="24"/>
      <c r="SB4" s="24"/>
      <c r="SC4" s="24"/>
      <c r="SD4" s="24"/>
      <c r="SE4" s="24"/>
      <c r="SF4" s="24"/>
      <c r="SG4" s="24"/>
      <c r="SH4" s="24"/>
      <c r="SI4" s="24"/>
      <c r="SJ4" s="24"/>
      <c r="SK4" s="24"/>
      <c r="SL4" s="24"/>
      <c r="SM4" s="24"/>
      <c r="SN4" s="24"/>
      <c r="SO4" s="24"/>
      <c r="SP4" s="24"/>
      <c r="SQ4" s="24"/>
      <c r="SR4" s="24"/>
      <c r="SS4" s="24"/>
      <c r="ST4" s="24"/>
      <c r="SU4" s="24"/>
      <c r="SV4" s="24"/>
      <c r="SW4" s="24"/>
      <c r="SX4" s="24"/>
      <c r="SY4" s="24"/>
      <c r="SZ4" s="24"/>
      <c r="TA4" s="24"/>
      <c r="TB4" s="24"/>
      <c r="TC4" s="24"/>
      <c r="TD4" s="24"/>
      <c r="TE4" s="24"/>
      <c r="TF4" s="24"/>
      <c r="TG4" s="24"/>
      <c r="TH4" s="24"/>
      <c r="TI4" s="24"/>
      <c r="TJ4" s="24"/>
      <c r="TK4" s="24"/>
      <c r="TL4" s="24"/>
      <c r="TM4" s="24"/>
      <c r="TN4" s="24"/>
      <c r="TO4" s="24"/>
      <c r="TP4" s="24"/>
      <c r="TQ4" s="24"/>
      <c r="TR4" s="24"/>
      <c r="TS4" s="24"/>
      <c r="TT4" s="24"/>
      <c r="TU4" s="24"/>
      <c r="TV4" s="24"/>
      <c r="TW4" s="24"/>
      <c r="TX4" s="24"/>
      <c r="TY4" s="24"/>
      <c r="TZ4" s="24"/>
      <c r="UA4" s="24"/>
      <c r="UB4" s="24"/>
      <c r="UC4" s="24"/>
      <c r="UD4" s="24"/>
      <c r="UE4" s="24"/>
      <c r="UF4" s="24"/>
      <c r="UG4" s="24"/>
      <c r="UH4" s="24"/>
      <c r="UI4" s="24"/>
      <c r="UJ4" s="24"/>
      <c r="UK4" s="24"/>
      <c r="UL4" s="24"/>
      <c r="UM4" s="24"/>
      <c r="UN4" s="24"/>
      <c r="UO4" s="24"/>
      <c r="UP4" s="24"/>
      <c r="UQ4" s="24"/>
      <c r="UR4" s="24"/>
    </row>
    <row r="5" spans="1:564" ht="19.5" thickBot="1" x14ac:dyDescent="0.25">
      <c r="A5" s="12" t="s">
        <v>4</v>
      </c>
      <c r="B5" s="13">
        <f>SUM(C5:ZZ5)</f>
        <v>1385560</v>
      </c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  <c r="BH5" s="14"/>
      <c r="BI5" s="14"/>
      <c r="BJ5" s="14"/>
      <c r="BK5" s="14"/>
      <c r="BL5" s="14"/>
      <c r="BM5" s="14"/>
      <c r="BN5" s="14"/>
      <c r="BO5" s="14"/>
      <c r="BP5" s="14"/>
      <c r="BQ5" s="14"/>
      <c r="BR5" s="14"/>
      <c r="BS5" s="14"/>
      <c r="BT5" s="14"/>
      <c r="BU5" s="14"/>
      <c r="BV5" s="14"/>
      <c r="BW5" s="14"/>
      <c r="BX5" s="14"/>
      <c r="BY5" s="14"/>
      <c r="BZ5" s="14"/>
      <c r="CA5" s="14"/>
      <c r="CB5" s="14"/>
      <c r="CC5" s="14"/>
      <c r="CD5" s="14"/>
      <c r="CE5" s="14"/>
      <c r="CF5" s="14"/>
      <c r="CG5" s="14"/>
      <c r="CH5" s="14"/>
      <c r="CI5" s="14"/>
      <c r="CJ5" s="14"/>
      <c r="CK5" s="14"/>
      <c r="CL5" s="14"/>
      <c r="CM5" s="14"/>
      <c r="CN5" s="14"/>
      <c r="CO5" s="14"/>
      <c r="CP5" s="14"/>
      <c r="CQ5" s="14"/>
      <c r="CR5" s="14"/>
      <c r="CS5" s="14"/>
      <c r="CT5" s="14"/>
      <c r="CU5" s="14"/>
      <c r="CV5" s="14"/>
      <c r="CW5" s="14"/>
      <c r="CX5" s="14"/>
      <c r="CY5" s="14"/>
      <c r="CZ5" s="14"/>
      <c r="DA5" s="14"/>
      <c r="DB5" s="14"/>
      <c r="DC5" s="14"/>
      <c r="DD5" s="14"/>
      <c r="DE5" s="14"/>
      <c r="DF5" s="14"/>
      <c r="DG5" s="14"/>
      <c r="DH5" s="14"/>
      <c r="DI5" s="14"/>
      <c r="DJ5" s="14"/>
      <c r="DK5" s="14"/>
      <c r="DL5" s="14"/>
      <c r="DM5" s="14"/>
      <c r="DN5" s="14"/>
      <c r="DO5" s="14"/>
      <c r="DP5" s="14"/>
      <c r="DQ5" s="14"/>
      <c r="DR5" s="14"/>
      <c r="DS5" s="14"/>
      <c r="DT5" s="14"/>
      <c r="DU5" s="14"/>
      <c r="DV5" s="14"/>
      <c r="DW5" s="14"/>
      <c r="DX5" s="14"/>
      <c r="DY5" s="14"/>
      <c r="DZ5" s="14"/>
      <c r="EA5" s="14"/>
      <c r="EB5" s="14"/>
      <c r="EC5" s="14"/>
      <c r="ED5" s="14"/>
      <c r="EE5" s="14"/>
      <c r="EF5" s="14"/>
      <c r="EG5" s="14"/>
      <c r="EH5" s="14"/>
      <c r="EI5" s="14"/>
      <c r="EJ5" s="14"/>
      <c r="EK5" s="14"/>
      <c r="EL5" s="14"/>
      <c r="EM5" s="14"/>
      <c r="EN5" s="14"/>
      <c r="EO5" s="14"/>
      <c r="EP5" s="14"/>
      <c r="EQ5" s="14"/>
      <c r="ER5" s="14"/>
      <c r="ES5" s="14"/>
      <c r="ET5" s="14"/>
      <c r="EU5" s="14"/>
      <c r="EV5" s="14"/>
      <c r="EW5" s="14"/>
      <c r="EX5" s="14"/>
      <c r="EY5" s="14"/>
      <c r="EZ5" s="14"/>
      <c r="FA5" s="14"/>
      <c r="FB5" s="14"/>
      <c r="FC5" s="14"/>
      <c r="FD5" s="14"/>
      <c r="FE5" s="14"/>
      <c r="FF5" s="14"/>
      <c r="FG5" s="14"/>
      <c r="FH5" s="14"/>
      <c r="FI5" s="14"/>
      <c r="FJ5" s="14"/>
      <c r="FK5" s="14"/>
      <c r="FL5" s="14"/>
      <c r="FM5" s="14"/>
      <c r="FN5" s="14"/>
      <c r="FO5" s="14"/>
      <c r="FP5" s="14"/>
      <c r="FQ5" s="14"/>
      <c r="FR5" s="14"/>
      <c r="FS5" s="14"/>
      <c r="FT5" s="14"/>
      <c r="FU5" s="14"/>
      <c r="FV5" s="14"/>
      <c r="FW5" s="14"/>
      <c r="FX5" s="14"/>
      <c r="FY5" s="14"/>
      <c r="FZ5" s="14"/>
      <c r="GA5" s="14"/>
      <c r="GB5" s="14"/>
      <c r="GC5" s="14"/>
      <c r="GD5" s="14"/>
      <c r="GE5" s="14"/>
      <c r="GF5" s="14"/>
      <c r="GG5" s="14"/>
      <c r="GH5" s="14"/>
      <c r="GI5" s="14"/>
      <c r="GJ5" s="14"/>
      <c r="GK5" s="14"/>
      <c r="GL5" s="14"/>
      <c r="GM5" s="25">
        <v>284250</v>
      </c>
      <c r="GN5" s="14"/>
      <c r="GO5" s="14"/>
      <c r="GP5" s="14"/>
      <c r="GQ5" s="14"/>
      <c r="GR5" s="15"/>
      <c r="GS5" s="15"/>
      <c r="GT5" s="15"/>
      <c r="GU5" s="26"/>
      <c r="GV5" s="27"/>
      <c r="GW5" s="27">
        <v>113700</v>
      </c>
      <c r="GX5" s="27"/>
      <c r="GY5" s="27">
        <v>51510</v>
      </c>
      <c r="GZ5" s="27"/>
      <c r="HA5" s="27"/>
      <c r="HB5" s="27">
        <v>450</v>
      </c>
      <c r="HC5" s="27"/>
      <c r="HD5" s="27"/>
      <c r="HE5" s="27"/>
      <c r="HF5" s="15">
        <v>97050</v>
      </c>
      <c r="HG5" s="15">
        <v>560000</v>
      </c>
      <c r="HH5" s="28"/>
      <c r="HI5" s="15"/>
      <c r="HJ5" s="19"/>
      <c r="HK5" s="19"/>
      <c r="HL5" s="29"/>
      <c r="HM5" s="30"/>
      <c r="HN5" s="30"/>
      <c r="HO5" s="30">
        <v>3750</v>
      </c>
      <c r="HP5" s="30">
        <v>1950</v>
      </c>
      <c r="HQ5" s="30"/>
      <c r="HR5" s="30"/>
      <c r="HS5" s="30"/>
      <c r="HT5" s="30">
        <v>24900</v>
      </c>
      <c r="HU5" s="30"/>
      <c r="HV5" s="30"/>
      <c r="HW5" s="30"/>
      <c r="HX5" s="30">
        <v>24000</v>
      </c>
      <c r="HY5" s="30">
        <v>112000</v>
      </c>
      <c r="HZ5" s="30">
        <v>112000</v>
      </c>
      <c r="IA5" s="19"/>
      <c r="IB5" s="19"/>
      <c r="IC5" s="19"/>
      <c r="ID5" s="19"/>
      <c r="IE5" s="19"/>
      <c r="IF5" s="19"/>
      <c r="IG5" s="19"/>
      <c r="IH5" s="19"/>
      <c r="II5" s="19"/>
      <c r="IJ5" s="14"/>
      <c r="IK5" s="147" t="s">
        <v>81</v>
      </c>
      <c r="IL5" s="14"/>
      <c r="IM5" s="14"/>
      <c r="IN5" s="14"/>
      <c r="IO5" s="14"/>
      <c r="IP5" s="14"/>
      <c r="IQ5" s="14"/>
      <c r="IR5" s="14"/>
      <c r="IS5" s="14"/>
      <c r="IT5" s="14"/>
      <c r="IU5" s="14"/>
      <c r="IV5" s="14"/>
      <c r="IW5" s="14"/>
      <c r="IX5" s="14"/>
      <c r="IY5" s="14"/>
      <c r="IZ5" s="14"/>
      <c r="JA5" s="14"/>
      <c r="JB5" s="14"/>
      <c r="JC5" s="14"/>
      <c r="JD5" s="14"/>
      <c r="JE5" s="14"/>
      <c r="JF5" s="14"/>
      <c r="JG5" s="14"/>
      <c r="JH5" s="14"/>
      <c r="JI5" s="14"/>
      <c r="JJ5" s="14"/>
      <c r="JK5" s="14"/>
      <c r="JL5" s="14"/>
      <c r="JM5" s="14"/>
      <c r="JN5" s="14"/>
      <c r="JO5" s="14"/>
      <c r="JP5" s="14"/>
      <c r="JQ5" s="14"/>
      <c r="JR5" s="14"/>
      <c r="JS5" s="14"/>
      <c r="JT5" s="14"/>
      <c r="JU5" s="14"/>
      <c r="JV5" s="14"/>
      <c r="JW5" s="14"/>
      <c r="JX5" s="14"/>
      <c r="JY5" s="14"/>
      <c r="JZ5" s="14"/>
      <c r="KA5" s="14"/>
      <c r="KB5" s="14"/>
      <c r="KC5" s="14"/>
      <c r="KD5" s="14"/>
      <c r="KE5" s="14"/>
      <c r="KF5" s="14"/>
      <c r="KG5" s="14"/>
      <c r="KH5" s="14"/>
      <c r="KI5" s="14"/>
      <c r="KJ5" s="14"/>
      <c r="KK5" s="14"/>
      <c r="KL5" s="14"/>
      <c r="KM5" s="14"/>
      <c r="KN5" s="14"/>
      <c r="KO5" s="14"/>
      <c r="KP5" s="14"/>
      <c r="KQ5" s="14"/>
      <c r="KR5" s="14"/>
      <c r="KS5" s="14"/>
      <c r="KT5" s="14"/>
      <c r="KU5" s="14"/>
      <c r="KV5" s="14"/>
      <c r="KW5" s="14"/>
      <c r="KX5" s="14"/>
      <c r="KY5" s="14"/>
      <c r="KZ5" s="14"/>
      <c r="LA5" s="14"/>
      <c r="LB5" s="14"/>
      <c r="LC5" s="14"/>
      <c r="LD5" s="14"/>
      <c r="LE5" s="14"/>
      <c r="LF5" s="14"/>
      <c r="LG5" s="14"/>
      <c r="LH5" s="14"/>
      <c r="LI5" s="14"/>
      <c r="LJ5" s="14"/>
      <c r="LK5" s="14"/>
      <c r="LL5" s="14"/>
      <c r="LM5" s="14"/>
      <c r="LN5" s="14"/>
      <c r="LO5" s="14"/>
      <c r="LP5" s="14"/>
      <c r="LQ5" s="14"/>
      <c r="LR5" s="14"/>
      <c r="LS5" s="14"/>
      <c r="LT5" s="14"/>
      <c r="LU5" s="14"/>
      <c r="LV5" s="14"/>
      <c r="LW5" s="14"/>
      <c r="LX5" s="14"/>
      <c r="LY5" s="14"/>
      <c r="LZ5" s="14"/>
      <c r="MA5" s="14"/>
      <c r="MB5" s="14"/>
      <c r="MC5" s="14"/>
      <c r="MD5" s="14"/>
      <c r="ME5" s="14"/>
      <c r="MF5" s="14"/>
      <c r="MG5" s="14"/>
      <c r="MH5" s="14"/>
      <c r="MI5" s="14"/>
      <c r="MJ5" s="14"/>
      <c r="MK5" s="14"/>
      <c r="ML5" s="14"/>
      <c r="MM5" s="14"/>
      <c r="MN5" s="14"/>
      <c r="MO5" s="14"/>
      <c r="MP5" s="14"/>
      <c r="MQ5" s="14"/>
      <c r="MR5" s="14"/>
      <c r="MS5" s="14"/>
      <c r="MT5" s="14"/>
      <c r="MU5" s="14"/>
      <c r="MV5" s="14"/>
      <c r="MW5" s="14"/>
      <c r="MX5" s="14"/>
      <c r="MY5" s="14"/>
      <c r="MZ5" s="14"/>
      <c r="NA5" s="14"/>
      <c r="NB5" s="14"/>
      <c r="NC5" s="14"/>
      <c r="ND5" s="14"/>
      <c r="NE5" s="14"/>
      <c r="NF5" s="14"/>
      <c r="NG5" s="14"/>
      <c r="NH5" s="14"/>
      <c r="NI5" s="14"/>
      <c r="NJ5" s="14"/>
      <c r="NK5" s="14"/>
      <c r="NL5" s="14"/>
      <c r="NM5" s="14"/>
      <c r="NN5" s="14"/>
      <c r="NO5" s="14"/>
      <c r="NP5" s="14"/>
      <c r="NQ5" s="14"/>
      <c r="NR5" s="14"/>
      <c r="NS5" s="14"/>
      <c r="NT5" s="14"/>
      <c r="NU5" s="14"/>
      <c r="NV5" s="14"/>
      <c r="NW5" s="14"/>
      <c r="NX5" s="14"/>
      <c r="NY5" s="14"/>
      <c r="NZ5" s="14"/>
      <c r="OA5" s="14"/>
      <c r="OB5" s="14"/>
      <c r="OC5" s="14"/>
      <c r="OD5" s="14"/>
      <c r="OE5" s="14"/>
      <c r="OF5" s="14"/>
      <c r="OG5" s="14"/>
      <c r="OH5" s="14"/>
      <c r="OI5" s="14"/>
      <c r="OJ5" s="14"/>
      <c r="OK5" s="14"/>
      <c r="OL5" s="14"/>
      <c r="OM5" s="14"/>
      <c r="ON5" s="14"/>
      <c r="OO5" s="14"/>
      <c r="OP5" s="14"/>
      <c r="OQ5" s="14"/>
      <c r="OR5" s="14"/>
      <c r="OS5" s="14"/>
      <c r="OT5" s="14"/>
      <c r="OU5" s="14"/>
      <c r="OV5" s="14"/>
      <c r="OW5" s="14"/>
      <c r="OX5" s="14"/>
      <c r="OY5" s="14"/>
      <c r="OZ5" s="14"/>
      <c r="PA5" s="14"/>
      <c r="PB5" s="14"/>
      <c r="PC5" s="14"/>
      <c r="PD5" s="14"/>
      <c r="PE5" s="14"/>
      <c r="PF5" s="14"/>
      <c r="PG5" s="14"/>
      <c r="PH5" s="14"/>
      <c r="PI5" s="14"/>
      <c r="PJ5" s="14"/>
      <c r="PK5" s="14"/>
      <c r="PL5" s="14"/>
      <c r="PM5" s="14"/>
      <c r="PN5" s="14"/>
      <c r="PO5" s="14"/>
      <c r="PP5" s="14"/>
      <c r="PQ5" s="14"/>
      <c r="PR5" s="14"/>
      <c r="PS5" s="14"/>
      <c r="PT5" s="14"/>
      <c r="PU5" s="14"/>
      <c r="PV5" s="14"/>
      <c r="PW5" s="14"/>
      <c r="PX5" s="14"/>
      <c r="PY5" s="14"/>
      <c r="PZ5" s="14"/>
      <c r="QA5" s="14"/>
      <c r="QB5" s="14"/>
      <c r="QC5" s="14"/>
      <c r="QD5" s="14"/>
      <c r="QE5" s="14"/>
      <c r="QF5" s="14"/>
      <c r="QG5" s="14"/>
      <c r="QH5" s="14"/>
      <c r="QI5" s="14"/>
      <c r="QJ5" s="14"/>
      <c r="QK5" s="14"/>
      <c r="QL5" s="14"/>
      <c r="QM5" s="14"/>
      <c r="QN5" s="14"/>
      <c r="QO5" s="14"/>
      <c r="QP5" s="14"/>
      <c r="QQ5" s="14"/>
      <c r="QR5" s="14"/>
      <c r="QS5" s="14"/>
      <c r="QT5" s="14"/>
      <c r="QU5" s="14"/>
      <c r="QV5" s="14"/>
      <c r="QW5" s="14"/>
      <c r="QX5" s="14"/>
      <c r="QY5" s="14"/>
      <c r="QZ5" s="14"/>
      <c r="RA5" s="14"/>
      <c r="RB5" s="14"/>
      <c r="RC5" s="14"/>
      <c r="RD5" s="14"/>
      <c r="RE5" s="14"/>
      <c r="RF5" s="14"/>
      <c r="RG5" s="14"/>
      <c r="RH5" s="14"/>
      <c r="RI5" s="14"/>
      <c r="RJ5" s="14"/>
      <c r="RK5" s="14"/>
      <c r="RL5" s="14"/>
      <c r="RM5" s="14"/>
      <c r="RN5" s="14"/>
      <c r="RO5" s="14"/>
      <c r="RP5" s="14"/>
      <c r="RQ5" s="24"/>
      <c r="RR5" s="24"/>
      <c r="RS5" s="24"/>
      <c r="RT5" s="24"/>
      <c r="RU5" s="24"/>
      <c r="RV5" s="24"/>
      <c r="RW5" s="24"/>
      <c r="RX5" s="24"/>
      <c r="RY5" s="24"/>
      <c r="RZ5" s="24"/>
      <c r="SA5" s="24"/>
      <c r="SB5" s="24"/>
      <c r="SC5" s="24"/>
      <c r="SD5" s="24"/>
      <c r="SE5" s="24"/>
      <c r="SF5" s="24"/>
      <c r="SG5" s="24"/>
      <c r="SH5" s="24"/>
      <c r="SI5" s="24"/>
      <c r="SJ5" s="24"/>
      <c r="SK5" s="24"/>
      <c r="SL5" s="24"/>
      <c r="SM5" s="24"/>
      <c r="SN5" s="24"/>
      <c r="SO5" s="24"/>
      <c r="SP5" s="24"/>
      <c r="SQ5" s="24"/>
      <c r="SR5" s="24"/>
      <c r="SS5" s="24"/>
      <c r="ST5" s="24"/>
      <c r="SU5" s="24"/>
      <c r="SV5" s="24"/>
      <c r="SW5" s="24"/>
      <c r="SX5" s="24"/>
      <c r="SY5" s="24"/>
      <c r="SZ5" s="24"/>
      <c r="TA5" s="24"/>
      <c r="TB5" s="24"/>
      <c r="TC5" s="24"/>
      <c r="TD5" s="24"/>
      <c r="TE5" s="24"/>
      <c r="TF5" s="24"/>
      <c r="TG5" s="24"/>
      <c r="TH5" s="24"/>
      <c r="TI5" s="24"/>
      <c r="TJ5" s="24"/>
      <c r="TK5" s="24"/>
      <c r="TL5" s="24"/>
      <c r="TM5" s="24"/>
      <c r="TN5" s="24"/>
      <c r="TO5" s="24"/>
      <c r="TP5" s="24"/>
      <c r="TQ5" s="24"/>
      <c r="TR5" s="24"/>
      <c r="TS5" s="24"/>
      <c r="TT5" s="24"/>
      <c r="TU5" s="24"/>
      <c r="TV5" s="24"/>
      <c r="TW5" s="24"/>
      <c r="TX5" s="24"/>
      <c r="TY5" s="24"/>
      <c r="TZ5" s="24"/>
      <c r="UA5" s="24"/>
      <c r="UB5" s="24"/>
      <c r="UC5" s="24"/>
      <c r="UD5" s="24"/>
      <c r="UE5" s="24"/>
      <c r="UF5" s="24"/>
      <c r="UG5" s="24"/>
      <c r="UH5" s="24"/>
      <c r="UI5" s="24"/>
      <c r="UJ5" s="24"/>
      <c r="UK5" s="24"/>
      <c r="UL5" s="24"/>
      <c r="UM5" s="24"/>
      <c r="UN5" s="24"/>
      <c r="UO5" s="24"/>
      <c r="UP5" s="24"/>
      <c r="UQ5" s="24"/>
      <c r="UR5" s="24"/>
    </row>
    <row r="6" spans="1:564" ht="18.75" x14ac:dyDescent="0.25">
      <c r="A6" s="12" t="s">
        <v>6</v>
      </c>
      <c r="B6" s="31">
        <f>B5-B4</f>
        <v>-1903440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6"/>
      <c r="GS6" s="6"/>
      <c r="GT6" s="6"/>
      <c r="GU6" s="6"/>
      <c r="GV6" s="6"/>
      <c r="GW6" s="6"/>
      <c r="GX6" s="6"/>
      <c r="GY6" s="6"/>
      <c r="GZ6" s="6"/>
      <c r="HA6" s="6"/>
      <c r="HB6" s="6"/>
      <c r="HC6" s="6"/>
      <c r="HD6" s="6"/>
      <c r="HE6" s="6"/>
      <c r="HF6" s="32" t="s">
        <v>7</v>
      </c>
      <c r="HG6" s="33">
        <f>SUM(GU5:HH5)-SUM(GU4:HH4)</f>
        <v>-928290</v>
      </c>
      <c r="HH6" s="7"/>
      <c r="HI6" s="7"/>
      <c r="HJ6" s="8"/>
      <c r="HK6" s="8"/>
      <c r="HL6" s="8"/>
      <c r="HM6" s="8"/>
      <c r="HN6" s="8"/>
      <c r="HO6" s="8"/>
      <c r="HP6" s="8"/>
      <c r="HQ6" s="8"/>
      <c r="HR6" s="8"/>
      <c r="HS6" s="8"/>
      <c r="HT6" s="8"/>
      <c r="HU6" s="8"/>
      <c r="HV6" s="8"/>
      <c r="HW6" s="8"/>
      <c r="HX6" s="8"/>
      <c r="HY6" s="8"/>
      <c r="HZ6" s="34" t="s">
        <v>8</v>
      </c>
      <c r="IA6" s="35">
        <f>SUM(HL5:HZ5)-SUM(HL4:HZ4)</f>
        <v>-1001400</v>
      </c>
      <c r="IB6" s="8"/>
      <c r="IC6" s="8"/>
      <c r="ID6" s="8"/>
      <c r="IE6" s="8"/>
      <c r="IF6" s="8"/>
      <c r="IG6" s="8"/>
      <c r="IH6" s="8"/>
      <c r="II6" s="8"/>
      <c r="IK6" s="148" t="s">
        <v>9</v>
      </c>
    </row>
    <row r="7" spans="1:564" ht="19.5" thickBot="1" x14ac:dyDescent="0.3">
      <c r="A7" s="12"/>
      <c r="B7" s="36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6"/>
      <c r="GS7" s="6"/>
      <c r="GT7" s="6"/>
      <c r="GU7" s="6"/>
      <c r="GV7" s="6"/>
      <c r="GW7" s="6"/>
      <c r="GX7" s="6"/>
      <c r="GY7" s="6"/>
      <c r="GZ7" s="6"/>
      <c r="HA7" s="6"/>
      <c r="HB7" s="6"/>
      <c r="HC7" s="6"/>
      <c r="HD7" s="6"/>
      <c r="HE7" s="6"/>
      <c r="HF7" s="37"/>
      <c r="HG7" s="38">
        <f>SUM(GU5:HH5)/SUM(GU4:HH4)</f>
        <v>0.46985151342090237</v>
      </c>
      <c r="HH7" s="7"/>
      <c r="HI7" s="7"/>
      <c r="HJ7" s="8"/>
      <c r="HK7" s="8"/>
      <c r="HL7" s="8"/>
      <c r="HM7" s="8"/>
      <c r="HN7" s="8"/>
      <c r="HO7" s="8"/>
      <c r="HP7" s="8"/>
      <c r="HQ7" s="8"/>
      <c r="HR7" s="8"/>
      <c r="HS7" s="8"/>
      <c r="HT7" s="8"/>
      <c r="HU7" s="8"/>
      <c r="HV7" s="8"/>
      <c r="HW7" s="8"/>
      <c r="HX7" s="8"/>
      <c r="HY7" s="8"/>
      <c r="HZ7" s="39"/>
      <c r="IA7" s="40">
        <f>SUM(HL5:HZ5)/SUM(HL4:HZ4)</f>
        <v>0.21765625</v>
      </c>
      <c r="IB7" s="8"/>
      <c r="IC7" s="8"/>
      <c r="ID7" s="8"/>
      <c r="IE7" s="8"/>
      <c r="IF7" s="8"/>
      <c r="IG7" s="8"/>
      <c r="IH7" s="8"/>
      <c r="II7" s="8"/>
      <c r="IK7" s="148" t="s">
        <v>82</v>
      </c>
    </row>
    <row r="8" spans="1:564" ht="18.75" x14ac:dyDescent="0.25">
      <c r="A8" s="9" t="s">
        <v>10</v>
      </c>
      <c r="B8" s="10">
        <f>B10/B9</f>
        <v>0.68502765734788462</v>
      </c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41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GR8" s="7"/>
      <c r="GS8" s="7"/>
      <c r="GT8" s="7"/>
      <c r="GU8" s="7"/>
      <c r="GV8" s="7"/>
      <c r="GW8" s="7"/>
      <c r="GX8" s="7"/>
      <c r="GY8" s="7"/>
      <c r="GZ8" s="7"/>
      <c r="HA8" s="7"/>
      <c r="HB8" s="7"/>
      <c r="HC8" s="7"/>
      <c r="HD8" s="7"/>
      <c r="HE8" s="7"/>
      <c r="HF8" s="7"/>
      <c r="HG8" s="7"/>
      <c r="HH8" s="7"/>
      <c r="HI8" s="7"/>
      <c r="HJ8" s="8"/>
      <c r="HK8" s="8"/>
      <c r="HL8" s="8"/>
      <c r="HM8" s="8"/>
      <c r="HN8" s="8"/>
      <c r="HO8" s="8"/>
      <c r="HP8" s="8"/>
      <c r="HQ8" s="8"/>
      <c r="HR8" s="8"/>
      <c r="HS8" s="8"/>
      <c r="HT8" s="8"/>
      <c r="HU8" s="8"/>
      <c r="HV8" s="8"/>
      <c r="HW8" s="8"/>
      <c r="HX8" s="8"/>
      <c r="HY8" s="8"/>
      <c r="HZ8" s="8"/>
      <c r="IA8" s="8"/>
      <c r="IB8" s="8"/>
      <c r="IC8" s="8"/>
      <c r="ID8" s="8"/>
      <c r="IE8" s="8"/>
      <c r="IF8" s="8"/>
      <c r="IG8" s="8"/>
      <c r="IH8" s="8"/>
      <c r="II8" s="8"/>
      <c r="IK8" s="148" t="s">
        <v>82</v>
      </c>
    </row>
    <row r="9" spans="1:564" s="12" customFormat="1" ht="18.75" x14ac:dyDescent="0.2">
      <c r="A9" s="12" t="s">
        <v>2</v>
      </c>
      <c r="B9" s="13">
        <f>SUM(C9:ZZ9)</f>
        <v>6689000</v>
      </c>
      <c r="C9" s="42"/>
      <c r="D9" s="42">
        <v>35000</v>
      </c>
      <c r="E9" s="42">
        <v>35000</v>
      </c>
      <c r="F9" s="42">
        <v>35000</v>
      </c>
      <c r="G9" s="42">
        <v>35000</v>
      </c>
      <c r="H9" s="42">
        <v>35000</v>
      </c>
      <c r="I9" s="42">
        <v>35000</v>
      </c>
      <c r="J9" s="42">
        <v>35000</v>
      </c>
      <c r="K9" s="42">
        <v>35000</v>
      </c>
      <c r="L9" s="42">
        <v>35000</v>
      </c>
      <c r="M9" s="42">
        <v>35000</v>
      </c>
      <c r="N9" s="43">
        <v>35000</v>
      </c>
      <c r="S9" s="44">
        <v>35000</v>
      </c>
      <c r="T9" s="42">
        <v>35000</v>
      </c>
      <c r="U9" s="42">
        <v>35000</v>
      </c>
      <c r="V9" s="42">
        <v>35000</v>
      </c>
      <c r="W9" s="42">
        <v>35000</v>
      </c>
      <c r="X9" s="42">
        <v>28000</v>
      </c>
      <c r="Y9" s="42"/>
      <c r="Z9" s="42">
        <v>25000</v>
      </c>
      <c r="AA9" s="42">
        <v>25000</v>
      </c>
      <c r="AB9" s="42">
        <v>25000</v>
      </c>
      <c r="AC9" s="42">
        <v>25000</v>
      </c>
      <c r="AD9" s="42">
        <v>25000</v>
      </c>
      <c r="AE9" s="42">
        <v>25000</v>
      </c>
      <c r="AF9" s="43">
        <v>25000</v>
      </c>
      <c r="AJ9" s="44">
        <v>25000</v>
      </c>
      <c r="AK9" s="42">
        <v>25000</v>
      </c>
      <c r="AL9" s="42">
        <v>25000</v>
      </c>
      <c r="AM9" s="42">
        <v>25000</v>
      </c>
      <c r="AN9" s="42">
        <v>25000</v>
      </c>
      <c r="AO9" s="45">
        <v>25000</v>
      </c>
      <c r="AP9" s="42">
        <v>25000</v>
      </c>
      <c r="AQ9" s="42">
        <v>25000</v>
      </c>
      <c r="AR9" s="42">
        <v>25000</v>
      </c>
      <c r="AS9" s="42">
        <v>25000</v>
      </c>
      <c r="AT9" s="42">
        <v>25000</v>
      </c>
      <c r="AU9" s="42">
        <v>25000</v>
      </c>
      <c r="AV9" s="42">
        <v>25000</v>
      </c>
      <c r="AW9" s="42">
        <v>25000</v>
      </c>
      <c r="AX9" s="43">
        <v>25000</v>
      </c>
      <c r="BB9" s="44">
        <v>25000</v>
      </c>
      <c r="BC9" s="42">
        <v>25000</v>
      </c>
      <c r="BD9" s="42">
        <v>25000</v>
      </c>
      <c r="BE9" s="42">
        <v>25000</v>
      </c>
      <c r="BF9" s="42">
        <v>25000</v>
      </c>
      <c r="BG9" s="42">
        <v>25000</v>
      </c>
      <c r="BH9" s="42">
        <v>25000</v>
      </c>
      <c r="BI9" s="42">
        <v>25000</v>
      </c>
      <c r="BJ9" s="42">
        <v>25000</v>
      </c>
      <c r="BK9" s="42">
        <v>21000</v>
      </c>
      <c r="BL9" s="42">
        <v>21000</v>
      </c>
      <c r="BM9" s="42">
        <v>21000</v>
      </c>
      <c r="BN9" s="42">
        <v>21000</v>
      </c>
      <c r="BO9" s="42">
        <v>54000</v>
      </c>
      <c r="BP9" s="42">
        <v>54000</v>
      </c>
      <c r="BQ9" s="42">
        <v>54000</v>
      </c>
      <c r="BR9" s="43">
        <v>54000</v>
      </c>
      <c r="BU9" s="44"/>
      <c r="BV9" s="42">
        <v>54000</v>
      </c>
      <c r="BW9" s="42">
        <v>54000</v>
      </c>
      <c r="BX9" s="42">
        <v>54000</v>
      </c>
      <c r="BY9" s="42">
        <v>34000</v>
      </c>
      <c r="BZ9" s="42">
        <v>34000</v>
      </c>
      <c r="CA9" s="42">
        <v>34000</v>
      </c>
      <c r="CB9" s="42">
        <v>18000</v>
      </c>
      <c r="CC9" s="42">
        <v>18000</v>
      </c>
      <c r="CD9" s="42">
        <v>18000</v>
      </c>
      <c r="CE9" s="42">
        <v>18000</v>
      </c>
      <c r="CF9" s="42">
        <v>18000</v>
      </c>
      <c r="CG9" s="42">
        <v>18000</v>
      </c>
      <c r="CH9" s="42">
        <v>18000</v>
      </c>
      <c r="CI9" s="42">
        <v>18000</v>
      </c>
      <c r="CJ9" s="43">
        <v>18000</v>
      </c>
      <c r="CM9" s="44"/>
      <c r="CN9" s="42">
        <v>18000</v>
      </c>
      <c r="CO9" s="42">
        <v>18000</v>
      </c>
      <c r="CP9" s="42">
        <v>18000</v>
      </c>
      <c r="CQ9" s="42"/>
      <c r="CR9" s="42">
        <v>18000</v>
      </c>
      <c r="CS9" s="42">
        <v>18000</v>
      </c>
      <c r="CT9" s="42">
        <v>18000</v>
      </c>
      <c r="CU9" s="42">
        <v>18000</v>
      </c>
      <c r="CV9" s="42">
        <v>18000</v>
      </c>
      <c r="CW9" s="42">
        <v>18000</v>
      </c>
      <c r="CX9" s="42"/>
      <c r="CY9" s="42">
        <v>18000</v>
      </c>
      <c r="CZ9" s="42">
        <v>18000</v>
      </c>
      <c r="DA9" s="42">
        <v>18000</v>
      </c>
      <c r="DB9" s="43">
        <v>18000</v>
      </c>
      <c r="DF9" s="44">
        <v>69000</v>
      </c>
      <c r="DG9" s="42">
        <v>69000</v>
      </c>
      <c r="DH9" s="42">
        <v>69000</v>
      </c>
      <c r="DI9" s="42">
        <v>69000</v>
      </c>
      <c r="DJ9" s="42">
        <v>69000</v>
      </c>
      <c r="DK9" s="42">
        <v>44000</v>
      </c>
      <c r="DL9" s="42">
        <v>44000</v>
      </c>
      <c r="DM9" s="42">
        <v>44000</v>
      </c>
      <c r="DN9" s="42">
        <v>44000</v>
      </c>
      <c r="DO9" s="42">
        <v>44000</v>
      </c>
      <c r="DP9" s="42">
        <v>44000</v>
      </c>
      <c r="DQ9" s="42">
        <v>44000</v>
      </c>
      <c r="DR9" s="42">
        <v>44000</v>
      </c>
      <c r="DS9" s="42">
        <v>44000</v>
      </c>
      <c r="DT9" s="43">
        <v>44000</v>
      </c>
      <c r="DW9" s="44">
        <v>44000</v>
      </c>
      <c r="DX9" s="42">
        <v>44000</v>
      </c>
      <c r="DY9" s="42">
        <v>44000</v>
      </c>
      <c r="DZ9" s="42">
        <v>44000</v>
      </c>
      <c r="EA9" s="42">
        <v>44000</v>
      </c>
      <c r="EB9" s="42">
        <v>35000</v>
      </c>
      <c r="EC9" s="42">
        <v>32000</v>
      </c>
      <c r="ED9" s="42"/>
      <c r="EE9" s="42">
        <v>36000</v>
      </c>
      <c r="EF9" s="42"/>
      <c r="EG9" s="42">
        <v>45000</v>
      </c>
      <c r="EH9" s="42">
        <v>45000</v>
      </c>
      <c r="EI9" s="42">
        <v>49000</v>
      </c>
      <c r="EJ9" s="42">
        <v>48000</v>
      </c>
      <c r="EK9" s="42">
        <v>37000</v>
      </c>
      <c r="EL9" s="43">
        <v>37000</v>
      </c>
      <c r="EM9" s="42">
        <v>37000</v>
      </c>
      <c r="EN9" s="42">
        <v>37000</v>
      </c>
      <c r="EO9" s="42"/>
      <c r="EP9" s="42">
        <v>37000</v>
      </c>
      <c r="EQ9" s="42">
        <v>37000</v>
      </c>
      <c r="ER9" s="42">
        <v>37000</v>
      </c>
      <c r="ES9" s="42">
        <v>37000</v>
      </c>
      <c r="ET9" s="42">
        <v>37000</v>
      </c>
      <c r="EU9" s="42">
        <v>37000</v>
      </c>
      <c r="EV9" s="42">
        <v>37000</v>
      </c>
      <c r="EW9" s="42">
        <v>37000</v>
      </c>
      <c r="EX9" s="42">
        <v>37000</v>
      </c>
      <c r="EY9" s="42">
        <v>37000</v>
      </c>
      <c r="EZ9" s="42">
        <v>37000</v>
      </c>
      <c r="FA9" s="42">
        <v>37000</v>
      </c>
      <c r="FB9" s="42">
        <v>37000</v>
      </c>
      <c r="FC9" s="42">
        <v>37000</v>
      </c>
      <c r="FD9" s="43">
        <v>37000</v>
      </c>
      <c r="FI9" s="44"/>
      <c r="FJ9" s="42">
        <v>37000</v>
      </c>
      <c r="FK9" s="42">
        <v>37000</v>
      </c>
      <c r="FL9" s="42">
        <v>37000</v>
      </c>
      <c r="FM9" s="42">
        <v>37000</v>
      </c>
      <c r="FN9" s="42">
        <v>37000</v>
      </c>
      <c r="FO9" s="42">
        <v>37000</v>
      </c>
      <c r="FP9" s="42">
        <v>37000</v>
      </c>
      <c r="FQ9" s="42">
        <v>37000</v>
      </c>
      <c r="FR9" s="42">
        <v>37000</v>
      </c>
      <c r="FS9" s="42">
        <v>37000</v>
      </c>
      <c r="FT9" s="42">
        <v>37000</v>
      </c>
      <c r="FU9" s="42">
        <v>37000</v>
      </c>
      <c r="FV9" s="42">
        <v>37000</v>
      </c>
      <c r="FW9" s="42">
        <v>37000</v>
      </c>
      <c r="FX9" s="43">
        <v>37000</v>
      </c>
      <c r="GA9" s="44">
        <v>37000</v>
      </c>
      <c r="GB9" s="42">
        <v>37000</v>
      </c>
      <c r="GC9" s="42"/>
      <c r="GD9" s="42">
        <v>37000</v>
      </c>
      <c r="GE9" s="42">
        <v>37000</v>
      </c>
      <c r="GF9" s="42">
        <v>37000</v>
      </c>
      <c r="GG9" s="42">
        <v>37000</v>
      </c>
      <c r="GH9" s="42">
        <v>37000</v>
      </c>
      <c r="GI9" s="42">
        <v>37000</v>
      </c>
      <c r="GJ9" s="42">
        <v>37000</v>
      </c>
      <c r="GK9" s="42">
        <v>37000</v>
      </c>
      <c r="GL9" s="42">
        <v>37000</v>
      </c>
      <c r="GM9" s="42">
        <v>37000</v>
      </c>
      <c r="GN9" s="42">
        <v>37000</v>
      </c>
      <c r="GO9" s="42">
        <v>37000</v>
      </c>
      <c r="GP9" s="43">
        <v>37000</v>
      </c>
      <c r="GR9" s="46">
        <v>37000</v>
      </c>
      <c r="GS9" s="47">
        <v>37000</v>
      </c>
      <c r="GT9" s="47">
        <v>37000</v>
      </c>
      <c r="GU9" s="47">
        <v>37000</v>
      </c>
      <c r="GV9" s="47">
        <v>37000</v>
      </c>
      <c r="GW9" s="47">
        <v>37000</v>
      </c>
      <c r="GX9" s="47">
        <v>37000</v>
      </c>
      <c r="GY9" s="47">
        <v>37000</v>
      </c>
      <c r="GZ9" s="47">
        <v>37000</v>
      </c>
      <c r="HA9" s="47">
        <v>37000</v>
      </c>
      <c r="HB9" s="47">
        <v>37000</v>
      </c>
      <c r="HC9" s="47">
        <v>37000</v>
      </c>
      <c r="HD9" s="47">
        <v>37000</v>
      </c>
      <c r="HE9" s="47">
        <v>0</v>
      </c>
      <c r="HF9" s="47">
        <v>37000</v>
      </c>
      <c r="HG9" s="47">
        <v>37000</v>
      </c>
      <c r="HH9" s="48">
        <v>37000</v>
      </c>
      <c r="HI9" s="49"/>
      <c r="HJ9" s="50"/>
      <c r="HK9" s="50"/>
      <c r="HL9" s="51"/>
      <c r="HM9" s="52">
        <v>37000</v>
      </c>
      <c r="HN9" s="52">
        <v>37000</v>
      </c>
      <c r="HO9" s="52">
        <v>37000</v>
      </c>
      <c r="HP9" s="52">
        <v>37000</v>
      </c>
      <c r="HQ9" s="52">
        <v>37000</v>
      </c>
      <c r="HR9" s="52">
        <v>37000</v>
      </c>
      <c r="HS9" s="52"/>
      <c r="HT9" s="52">
        <v>37000</v>
      </c>
      <c r="HU9" s="52"/>
      <c r="HV9" s="52">
        <v>37000</v>
      </c>
      <c r="HW9" s="52">
        <v>37000</v>
      </c>
      <c r="HX9" s="52">
        <v>37000</v>
      </c>
      <c r="HY9" s="52">
        <v>37000</v>
      </c>
      <c r="HZ9" s="53">
        <v>37000</v>
      </c>
      <c r="IA9" s="50">
        <v>37000</v>
      </c>
      <c r="IB9" s="50">
        <v>37000</v>
      </c>
      <c r="IC9" s="50"/>
      <c r="ID9" s="50"/>
      <c r="IE9" s="50">
        <v>37000</v>
      </c>
      <c r="IF9" s="50"/>
      <c r="IG9" s="50"/>
      <c r="IH9" s="50">
        <v>37000</v>
      </c>
      <c r="II9" s="50">
        <v>37000</v>
      </c>
      <c r="IJ9" s="12">
        <v>37000</v>
      </c>
      <c r="IK9" s="147" t="s">
        <v>9</v>
      </c>
      <c r="IL9" s="12" t="s">
        <v>94</v>
      </c>
    </row>
    <row r="10" spans="1:564" s="12" customFormat="1" ht="19.5" thickBot="1" x14ac:dyDescent="0.25">
      <c r="A10" s="12" t="s">
        <v>4</v>
      </c>
      <c r="B10" s="13">
        <f>SUM(C10:ZZ10)</f>
        <v>4582150</v>
      </c>
      <c r="C10" s="54"/>
      <c r="D10" s="54"/>
      <c r="E10" s="54">
        <v>3150</v>
      </c>
      <c r="F10" s="54">
        <v>32850</v>
      </c>
      <c r="G10" s="54">
        <v>13050</v>
      </c>
      <c r="H10" s="54">
        <v>13050</v>
      </c>
      <c r="I10" s="54"/>
      <c r="J10" s="54">
        <v>28800</v>
      </c>
      <c r="K10" s="54">
        <v>52950</v>
      </c>
      <c r="L10" s="54">
        <v>21000</v>
      </c>
      <c r="M10" s="54">
        <f>24450+147000</f>
        <v>171450</v>
      </c>
      <c r="N10" s="55"/>
      <c r="S10" s="56"/>
      <c r="T10" s="54"/>
      <c r="U10" s="54">
        <v>4950</v>
      </c>
      <c r="V10" s="54">
        <v>11250</v>
      </c>
      <c r="W10" s="54">
        <v>1800</v>
      </c>
      <c r="X10" s="54">
        <v>3000</v>
      </c>
      <c r="Y10" s="54">
        <v>20250</v>
      </c>
      <c r="Z10" s="54">
        <v>73800</v>
      </c>
      <c r="AA10" s="54">
        <v>12900</v>
      </c>
      <c r="AB10" s="54">
        <v>24600</v>
      </c>
      <c r="AC10" s="54">
        <v>1800</v>
      </c>
      <c r="AD10" s="54">
        <v>13650</v>
      </c>
      <c r="AE10" s="54">
        <v>147000</v>
      </c>
      <c r="AF10" s="57"/>
      <c r="AJ10" s="56">
        <v>750</v>
      </c>
      <c r="AK10" s="54">
        <v>7350</v>
      </c>
      <c r="AL10" s="54">
        <v>7050</v>
      </c>
      <c r="AM10" s="54">
        <v>4350</v>
      </c>
      <c r="AN10" s="54">
        <v>1350</v>
      </c>
      <c r="AO10" s="58">
        <v>18000</v>
      </c>
      <c r="AP10" s="54">
        <v>16950</v>
      </c>
      <c r="AQ10" s="54">
        <v>13050</v>
      </c>
      <c r="AR10" s="54">
        <v>3000</v>
      </c>
      <c r="AS10" s="54">
        <v>28050</v>
      </c>
      <c r="AT10" s="54">
        <v>4650</v>
      </c>
      <c r="AU10" s="54">
        <v>3750</v>
      </c>
      <c r="AV10" s="54">
        <v>30150</v>
      </c>
      <c r="AW10" s="54">
        <f>32550+147000</f>
        <v>179550</v>
      </c>
      <c r="AX10" s="57"/>
      <c r="BB10" s="56">
        <v>2250</v>
      </c>
      <c r="BC10" s="54">
        <v>1650</v>
      </c>
      <c r="BD10" s="54">
        <v>1500</v>
      </c>
      <c r="BE10" s="54">
        <v>1650</v>
      </c>
      <c r="BF10" s="54">
        <v>1800</v>
      </c>
      <c r="BG10" s="54">
        <v>3900</v>
      </c>
      <c r="BH10" s="54">
        <v>20550</v>
      </c>
      <c r="BI10" s="54">
        <v>12000</v>
      </c>
      <c r="BJ10" s="54">
        <v>4050</v>
      </c>
      <c r="BK10" s="54">
        <v>26850</v>
      </c>
      <c r="BL10" s="54">
        <v>36900</v>
      </c>
      <c r="BM10" s="54">
        <v>37200</v>
      </c>
      <c r="BN10" s="54">
        <v>2250</v>
      </c>
      <c r="BO10" s="54">
        <v>16800</v>
      </c>
      <c r="BP10" s="54">
        <v>3000</v>
      </c>
      <c r="BQ10" s="54">
        <f>1500+147000</f>
        <v>148500</v>
      </c>
      <c r="BR10" s="57"/>
      <c r="BU10" s="56">
        <v>7350</v>
      </c>
      <c r="BV10" s="54">
        <v>3750</v>
      </c>
      <c r="BW10" s="54">
        <v>6600</v>
      </c>
      <c r="BX10" s="54">
        <v>8700</v>
      </c>
      <c r="BY10" s="54">
        <v>7350</v>
      </c>
      <c r="BZ10" s="54">
        <v>12150</v>
      </c>
      <c r="CA10" s="54">
        <v>7950</v>
      </c>
      <c r="CB10" s="54">
        <v>47700</v>
      </c>
      <c r="CC10" s="54">
        <v>8400</v>
      </c>
      <c r="CD10" s="54">
        <v>27000</v>
      </c>
      <c r="CE10" s="54">
        <v>3750</v>
      </c>
      <c r="CF10" s="54"/>
      <c r="CG10" s="54">
        <v>29400</v>
      </c>
      <c r="CH10" s="54">
        <v>10350</v>
      </c>
      <c r="CI10" s="54">
        <f>10800+147000</f>
        <v>157800</v>
      </c>
      <c r="CJ10" s="57"/>
      <c r="CM10" s="56">
        <v>7050</v>
      </c>
      <c r="CN10" s="54">
        <v>2100</v>
      </c>
      <c r="CO10" s="54">
        <v>1050</v>
      </c>
      <c r="CP10" s="54">
        <v>1500</v>
      </c>
      <c r="CQ10" s="54"/>
      <c r="CR10" s="54">
        <v>12750</v>
      </c>
      <c r="CS10" s="54">
        <v>15150</v>
      </c>
      <c r="CT10" s="54">
        <v>57600</v>
      </c>
      <c r="CU10" s="54">
        <v>35400</v>
      </c>
      <c r="CV10" s="54">
        <v>16800</v>
      </c>
      <c r="CW10" s="54">
        <v>48300</v>
      </c>
      <c r="CX10" s="54">
        <v>8550</v>
      </c>
      <c r="CY10" s="54">
        <v>2100</v>
      </c>
      <c r="CZ10" s="54">
        <v>23250</v>
      </c>
      <c r="DA10" s="54">
        <v>147000</v>
      </c>
      <c r="DB10" s="57"/>
      <c r="DF10" s="56">
        <v>4350</v>
      </c>
      <c r="DG10" s="54">
        <v>1200</v>
      </c>
      <c r="DH10" s="54">
        <v>9000</v>
      </c>
      <c r="DI10" s="54">
        <v>6150</v>
      </c>
      <c r="DJ10" s="54">
        <v>17700</v>
      </c>
      <c r="DK10" s="54">
        <v>4800</v>
      </c>
      <c r="DL10" s="54">
        <v>7350</v>
      </c>
      <c r="DM10" s="54">
        <v>29100</v>
      </c>
      <c r="DN10" s="54">
        <v>4350</v>
      </c>
      <c r="DO10" s="54">
        <v>1650</v>
      </c>
      <c r="DP10" s="54">
        <v>10500</v>
      </c>
      <c r="DQ10" s="54">
        <v>26550</v>
      </c>
      <c r="DR10" s="54">
        <v>40650</v>
      </c>
      <c r="DS10" s="54">
        <f>147000+7800</f>
        <v>154800</v>
      </c>
      <c r="DT10" s="57"/>
      <c r="DW10" s="56">
        <v>1950</v>
      </c>
      <c r="DX10" s="54">
        <v>600</v>
      </c>
      <c r="DY10" s="54">
        <v>2550</v>
      </c>
      <c r="DZ10" s="54">
        <v>1200</v>
      </c>
      <c r="EA10" s="54">
        <v>8100</v>
      </c>
      <c r="EB10" s="54">
        <v>40950</v>
      </c>
      <c r="EC10" s="54">
        <v>67650</v>
      </c>
      <c r="ED10" s="54">
        <v>31500</v>
      </c>
      <c r="EE10" s="54">
        <v>1800</v>
      </c>
      <c r="EF10" s="54">
        <v>1350</v>
      </c>
      <c r="EG10" s="54">
        <v>10050</v>
      </c>
      <c r="EH10" s="54"/>
      <c r="EI10" s="54">
        <v>4350</v>
      </c>
      <c r="EJ10" s="54">
        <v>25950</v>
      </c>
      <c r="EK10" s="54">
        <v>147000</v>
      </c>
      <c r="EL10" s="57"/>
      <c r="EM10" s="54"/>
      <c r="EN10" s="54"/>
      <c r="EO10" s="54">
        <v>1800</v>
      </c>
      <c r="EP10" s="54">
        <v>7950</v>
      </c>
      <c r="EQ10" s="54">
        <v>7650</v>
      </c>
      <c r="ER10" s="54">
        <v>6750</v>
      </c>
      <c r="ES10" s="54">
        <v>13200</v>
      </c>
      <c r="ET10" s="54">
        <v>13650</v>
      </c>
      <c r="EU10" s="54">
        <v>19650</v>
      </c>
      <c r="EV10" s="54">
        <v>25500</v>
      </c>
      <c r="EW10" s="54">
        <v>16800</v>
      </c>
      <c r="EX10" s="54">
        <v>42000</v>
      </c>
      <c r="EY10" s="54">
        <v>44550</v>
      </c>
      <c r="EZ10" s="54">
        <v>12000</v>
      </c>
      <c r="FA10" s="54">
        <v>22350</v>
      </c>
      <c r="FB10" s="54">
        <v>11250</v>
      </c>
      <c r="FC10" s="54">
        <v>147000</v>
      </c>
      <c r="FD10" s="57"/>
      <c r="FI10" s="56">
        <v>1050</v>
      </c>
      <c r="FJ10" s="54"/>
      <c r="FK10" s="54">
        <v>6750</v>
      </c>
      <c r="FL10" s="54">
        <v>600</v>
      </c>
      <c r="FM10" s="54">
        <v>13950</v>
      </c>
      <c r="FN10" s="54">
        <v>6450</v>
      </c>
      <c r="FO10" s="54">
        <v>7050</v>
      </c>
      <c r="FP10" s="54">
        <v>3150</v>
      </c>
      <c r="FQ10" s="54">
        <v>32100</v>
      </c>
      <c r="FR10" s="54">
        <v>18300</v>
      </c>
      <c r="FS10" s="54">
        <v>38850</v>
      </c>
      <c r="FT10" s="54">
        <v>9300</v>
      </c>
      <c r="FU10" s="54">
        <v>14250</v>
      </c>
      <c r="FV10" s="54">
        <v>31650</v>
      </c>
      <c r="FW10" s="54">
        <f>138000+4200</f>
        <v>142200</v>
      </c>
      <c r="FX10" s="57"/>
      <c r="GA10" s="56">
        <v>2700</v>
      </c>
      <c r="GB10" s="54">
        <v>5700</v>
      </c>
      <c r="GC10" s="54">
        <v>9000</v>
      </c>
      <c r="GD10" s="54">
        <v>900</v>
      </c>
      <c r="GE10" s="54">
        <v>2550</v>
      </c>
      <c r="GF10" s="54">
        <v>33750</v>
      </c>
      <c r="GG10" s="54">
        <v>47850</v>
      </c>
      <c r="GH10" s="54">
        <v>4800</v>
      </c>
      <c r="GI10" s="54">
        <v>44850</v>
      </c>
      <c r="GJ10" s="54">
        <v>10500</v>
      </c>
      <c r="GK10" s="54">
        <v>1500</v>
      </c>
      <c r="GL10" s="54">
        <v>3000</v>
      </c>
      <c r="GM10" s="54">
        <v>2400</v>
      </c>
      <c r="GN10" s="54">
        <v>19950</v>
      </c>
      <c r="GO10" s="54">
        <f>138000+10650</f>
        <v>148650</v>
      </c>
      <c r="GP10" s="57"/>
      <c r="GR10" s="59">
        <v>300</v>
      </c>
      <c r="GS10" s="60">
        <v>1800</v>
      </c>
      <c r="GT10" s="60">
        <v>3900</v>
      </c>
      <c r="GU10" s="60">
        <v>2850</v>
      </c>
      <c r="GV10" s="60">
        <v>2850</v>
      </c>
      <c r="GW10" s="60"/>
      <c r="GX10" s="60">
        <v>42900</v>
      </c>
      <c r="GY10" s="60">
        <v>20400</v>
      </c>
      <c r="GZ10" s="60">
        <v>21750</v>
      </c>
      <c r="HA10" s="60">
        <v>1200</v>
      </c>
      <c r="HB10" s="60">
        <v>10200</v>
      </c>
      <c r="HC10" s="60">
        <v>7950</v>
      </c>
      <c r="HD10" s="60">
        <v>25350</v>
      </c>
      <c r="HE10" s="60">
        <v>100000</v>
      </c>
      <c r="HF10" s="60">
        <v>6600</v>
      </c>
      <c r="HG10" s="49">
        <v>138000</v>
      </c>
      <c r="HH10" s="61"/>
      <c r="HI10" s="49"/>
      <c r="HJ10" s="50"/>
      <c r="HK10" s="50"/>
      <c r="HL10" s="62">
        <v>9600</v>
      </c>
      <c r="HM10" s="63">
        <v>6600</v>
      </c>
      <c r="HN10" s="63">
        <v>300</v>
      </c>
      <c r="HO10" s="63">
        <v>6600</v>
      </c>
      <c r="HP10" s="63">
        <v>19050</v>
      </c>
      <c r="HQ10" s="64">
        <v>28050</v>
      </c>
      <c r="HR10" s="64">
        <v>4500</v>
      </c>
      <c r="HS10" s="64">
        <v>74250</v>
      </c>
      <c r="HT10" s="64">
        <v>51750</v>
      </c>
      <c r="HU10" s="64">
        <v>22200</v>
      </c>
      <c r="HV10" s="64">
        <v>14250</v>
      </c>
      <c r="HW10" s="64">
        <v>26400</v>
      </c>
      <c r="HX10" s="64">
        <v>19500</v>
      </c>
      <c r="HY10" s="64">
        <v>3450</v>
      </c>
      <c r="HZ10" s="65">
        <v>138000</v>
      </c>
      <c r="IA10" s="50"/>
      <c r="IB10" s="50"/>
      <c r="IC10" s="50">
        <v>2550</v>
      </c>
      <c r="ID10" s="50"/>
      <c r="IE10" s="50">
        <v>16650</v>
      </c>
      <c r="IF10" s="50"/>
      <c r="IG10" s="50"/>
      <c r="IH10" s="50">
        <v>10500</v>
      </c>
      <c r="II10" s="50"/>
      <c r="IJ10" s="12">
        <v>15900</v>
      </c>
      <c r="IK10" s="147" t="s">
        <v>5</v>
      </c>
    </row>
    <row r="11" spans="1:564" s="12" customFormat="1" ht="18.75" x14ac:dyDescent="0.25">
      <c r="A11" s="12" t="s">
        <v>6</v>
      </c>
      <c r="B11" s="36">
        <f>B10-B9</f>
        <v>-2106850</v>
      </c>
      <c r="M11" s="66" t="s">
        <v>12</v>
      </c>
      <c r="N11"/>
      <c r="AE11" s="66" t="s">
        <v>13</v>
      </c>
      <c r="AF11" s="67">
        <f>SUM(Q10:AF10)-SUM(Q9:AF9)</f>
        <v>-63000</v>
      </c>
      <c r="AO11" s="41"/>
      <c r="AW11" s="66" t="s">
        <v>14</v>
      </c>
      <c r="AX11" s="67">
        <f>SUM(AJ10:AW10)-SUM(AJ9:AX9)</f>
        <v>-57000</v>
      </c>
      <c r="BQ11" s="66" t="s">
        <v>14</v>
      </c>
      <c r="BR11" s="67">
        <f>SUM(BB10:BR10)-SUM(BB9:BR9)</f>
        <v>-204150</v>
      </c>
      <c r="CI11" s="66" t="s">
        <v>14</v>
      </c>
      <c r="CJ11" s="67">
        <f>SUM(BU10:CJ10)-SUM(BU9:CJ9)</f>
        <v>-87750</v>
      </c>
      <c r="DA11" s="66" t="s">
        <v>14</v>
      </c>
      <c r="DB11" s="67">
        <f>SUM(CK10:DB10)-SUM(CK9:DB9)</f>
        <v>144600</v>
      </c>
      <c r="DS11" s="66" t="s">
        <v>14</v>
      </c>
      <c r="DT11" s="67">
        <f>SUM(DC10:DT10)-SUM(DC9:DT9)</f>
        <v>-466850</v>
      </c>
      <c r="EK11" s="66" t="s">
        <v>13</v>
      </c>
      <c r="EL11" s="67">
        <f>SUM(DW10:EL10)-SUM(DW9:EL9)</f>
        <v>-239000</v>
      </c>
      <c r="FC11" s="66" t="s">
        <v>13</v>
      </c>
      <c r="FD11" s="67">
        <f>SUM(EM10:FD10)-SUM(EM9:FD9)</f>
        <v>-236900</v>
      </c>
      <c r="FW11" s="66" t="s">
        <v>15</v>
      </c>
      <c r="FX11" s="67">
        <f>SUM(FG10:FX10)-SUM(FG9:FX9)</f>
        <v>-229350</v>
      </c>
      <c r="GO11" s="66" t="s">
        <v>15</v>
      </c>
      <c r="GP11" s="67">
        <f>SUM(GA10:GP10)-SUM(GA9:GP9)</f>
        <v>-216900</v>
      </c>
      <c r="GR11" s="49"/>
      <c r="GS11" s="49"/>
      <c r="GT11" s="49"/>
      <c r="GU11" s="49"/>
      <c r="GV11" s="49"/>
      <c r="GW11" s="49"/>
      <c r="GX11" s="49"/>
      <c r="GY11" s="49"/>
      <c r="GZ11" s="49"/>
      <c r="HA11" s="49"/>
      <c r="HB11" s="49"/>
      <c r="HC11" s="49"/>
      <c r="HD11" s="49"/>
      <c r="HE11" s="49"/>
      <c r="HF11" s="49"/>
      <c r="HG11" s="68" t="s">
        <v>16</v>
      </c>
      <c r="HH11" s="33">
        <f>SUM(GR10:HH10)-SUM(GR9:HH9)</f>
        <v>-205950</v>
      </c>
      <c r="HI11" s="49"/>
      <c r="HJ11" s="50"/>
      <c r="HK11" s="50"/>
      <c r="HL11" s="50"/>
      <c r="HM11" s="50"/>
      <c r="HN11" s="50"/>
      <c r="HO11" s="50"/>
      <c r="HP11" s="50"/>
      <c r="HQ11" s="50"/>
      <c r="HR11" s="50"/>
      <c r="HS11" s="50"/>
      <c r="HT11" s="50"/>
      <c r="HU11" s="50"/>
      <c r="HV11" s="50"/>
      <c r="HW11" s="50"/>
      <c r="HX11" s="50"/>
      <c r="HY11" s="50"/>
      <c r="HZ11" s="69" t="s">
        <v>17</v>
      </c>
      <c r="IA11" s="35">
        <f>SUM(HL10:IB10)-SUM(HL9:IB9)</f>
        <v>-93500</v>
      </c>
      <c r="IB11" s="50"/>
      <c r="IC11" s="50"/>
      <c r="ID11" s="50"/>
      <c r="IE11" s="50"/>
      <c r="IF11" s="50"/>
      <c r="IG11" s="50"/>
      <c r="IH11" s="50"/>
      <c r="II11" s="50"/>
      <c r="IK11" s="147" t="s">
        <v>83</v>
      </c>
      <c r="IL11" s="12" t="s">
        <v>95</v>
      </c>
    </row>
    <row r="12" spans="1:564" ht="19.5" thickBot="1" x14ac:dyDescent="0.3">
      <c r="M12" s="12"/>
      <c r="N12" s="70"/>
      <c r="AE12" s="12"/>
      <c r="AF12" s="70">
        <f>SUM(Q10:AF10)/SUM(Q9:AF9)</f>
        <v>0.83333333333333337</v>
      </c>
      <c r="AO12" s="71"/>
      <c r="AX12" s="70">
        <f>SUM(AJ10:AW10)/SUM(AJ9:AX9)</f>
        <v>0.84799999999999998</v>
      </c>
      <c r="BR12" s="70">
        <f>SUM(BB10:BR10)/SUM(BB9:BR9)</f>
        <v>0.6111428571428571</v>
      </c>
      <c r="CJ12" s="70">
        <f>SUM(BU10:CJ10)/SUM(BU9:CJ9)</f>
        <v>0.79401408450704225</v>
      </c>
      <c r="DB12" s="70">
        <f>SUM(CK10:DB10)/SUM(CK9:DB9)</f>
        <v>1.617948717948718</v>
      </c>
      <c r="DT12" s="70">
        <f>SUM(DC10:DT10)/SUM(DC9:DT9)</f>
        <v>0.40528662420382167</v>
      </c>
      <c r="EK12" s="12"/>
      <c r="EL12" s="70">
        <f>SUM(DW10:EL10)/SUM(DW9:EL9)</f>
        <v>0.59075342465753422</v>
      </c>
      <c r="FC12" s="12"/>
      <c r="FD12" s="70">
        <f>SUM(EM10:FD10)/SUM(EM9:FD9)</f>
        <v>0.62337042925278219</v>
      </c>
      <c r="FW12" s="12"/>
      <c r="FX12" s="70">
        <f>SUM(FG10:FX10)/SUM(FG9:FX9)</f>
        <v>0.58675675675675676</v>
      </c>
      <c r="GO12" s="12"/>
      <c r="GP12" s="70">
        <f>SUM(GA10:GP10)/SUM(GA9:GP9)</f>
        <v>0.60918918918918918</v>
      </c>
      <c r="GR12" s="7"/>
      <c r="GS12" s="7"/>
      <c r="GT12" s="7"/>
      <c r="GU12" s="7"/>
      <c r="GV12" s="7"/>
      <c r="GW12" s="7"/>
      <c r="GX12" s="7"/>
      <c r="GY12" s="7"/>
      <c r="GZ12" s="7"/>
      <c r="HA12" s="7"/>
      <c r="HB12" s="7"/>
      <c r="HC12" s="7"/>
      <c r="HD12" s="7"/>
      <c r="HE12" s="7"/>
      <c r="HF12" s="7"/>
      <c r="HG12" s="37"/>
      <c r="HH12" s="38">
        <f>SUM(GR10:HH10)/SUM(GR9:HH9)</f>
        <v>0.65211148648648654</v>
      </c>
      <c r="HI12" s="7"/>
      <c r="HJ12" s="8"/>
      <c r="HK12" s="8"/>
      <c r="HL12" s="8"/>
      <c r="HM12" s="8"/>
      <c r="HN12" s="8"/>
      <c r="HO12" s="8"/>
      <c r="HP12" s="8"/>
      <c r="HQ12" s="8"/>
      <c r="HR12" s="8"/>
      <c r="HS12" s="8"/>
      <c r="HT12" s="8"/>
      <c r="HU12" s="8"/>
      <c r="HV12" s="8"/>
      <c r="HW12" s="8"/>
      <c r="HX12" s="8"/>
      <c r="HY12" s="8"/>
      <c r="HZ12" s="39"/>
      <c r="IA12" s="40">
        <f>SUM(HL10:IB10)/SUM(HL9:IB9)</f>
        <v>0.81949806949806947</v>
      </c>
      <c r="IB12" s="8"/>
      <c r="IC12" s="8"/>
      <c r="ID12" s="8"/>
      <c r="IE12" s="8"/>
      <c r="IF12" s="8"/>
      <c r="IG12" s="8"/>
      <c r="IH12" s="8"/>
      <c r="II12" s="8"/>
      <c r="IK12" s="148" t="s">
        <v>9</v>
      </c>
      <c r="IL12" t="s">
        <v>96</v>
      </c>
    </row>
    <row r="13" spans="1:564" ht="18.75" x14ac:dyDescent="0.25">
      <c r="A13" s="9" t="s">
        <v>18</v>
      </c>
      <c r="B13" s="10">
        <f>B15/B14</f>
        <v>1.2442230588737568</v>
      </c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41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GR13" s="7"/>
      <c r="GS13" s="7"/>
      <c r="GT13" s="7"/>
      <c r="GU13" s="7"/>
      <c r="GV13" s="7"/>
      <c r="GW13" s="7"/>
      <c r="GX13" s="7"/>
      <c r="GY13" s="7"/>
      <c r="GZ13" s="7"/>
      <c r="HA13" s="7"/>
      <c r="HB13" s="7"/>
      <c r="HC13" s="7"/>
      <c r="HD13" s="7"/>
      <c r="HE13" s="7"/>
      <c r="HF13" s="7"/>
      <c r="HG13" s="7"/>
      <c r="HH13" s="7"/>
      <c r="HI13" s="7"/>
      <c r="HJ13" s="8"/>
      <c r="HK13" s="8"/>
      <c r="HL13" s="8"/>
      <c r="HM13" s="8"/>
      <c r="HN13" s="8"/>
      <c r="HO13" s="8"/>
      <c r="HP13" s="8"/>
      <c r="HQ13" s="8"/>
      <c r="HR13" s="8"/>
      <c r="HS13" s="8"/>
      <c r="HT13" s="8"/>
      <c r="HU13" s="8"/>
      <c r="HV13" s="8"/>
      <c r="HW13" s="8"/>
      <c r="HX13" s="8"/>
      <c r="HY13" s="8"/>
      <c r="HZ13" s="8"/>
      <c r="IA13" s="8"/>
      <c r="IB13" s="8"/>
      <c r="IC13" s="8"/>
      <c r="ID13" s="72">
        <v>218000</v>
      </c>
      <c r="IE13" s="8">
        <v>144000</v>
      </c>
      <c r="IF13" s="8">
        <v>144000</v>
      </c>
      <c r="IG13" s="8">
        <v>144000</v>
      </c>
      <c r="IH13" s="8">
        <v>144000</v>
      </c>
      <c r="II13" s="8">
        <v>237000</v>
      </c>
      <c r="IJ13" s="8">
        <v>237000</v>
      </c>
      <c r="IK13" s="148"/>
    </row>
    <row r="14" spans="1:564" s="12" customFormat="1" ht="18.75" x14ac:dyDescent="0.2">
      <c r="A14" s="12" t="s">
        <v>2</v>
      </c>
      <c r="B14" s="13">
        <f>SUM(C14:ZZ14)</f>
        <v>29044350</v>
      </c>
      <c r="C14" s="42">
        <v>133000</v>
      </c>
      <c r="D14" s="42">
        <v>133000</v>
      </c>
      <c r="E14" s="42">
        <v>133000</v>
      </c>
      <c r="F14" s="42">
        <v>133000</v>
      </c>
      <c r="G14" s="42">
        <v>133000</v>
      </c>
      <c r="H14" s="43">
        <v>133000</v>
      </c>
      <c r="K14" s="44">
        <v>133000</v>
      </c>
      <c r="L14" s="42">
        <v>41000</v>
      </c>
      <c r="M14" s="42">
        <v>41000</v>
      </c>
      <c r="N14" s="42">
        <v>41000</v>
      </c>
      <c r="O14" s="42">
        <v>59000</v>
      </c>
      <c r="P14" s="42">
        <v>64000</v>
      </c>
      <c r="Q14" s="42">
        <v>113000</v>
      </c>
      <c r="R14" s="42">
        <v>113000</v>
      </c>
      <c r="S14" s="42">
        <v>113000</v>
      </c>
      <c r="T14" s="42">
        <v>113000</v>
      </c>
      <c r="U14" s="42">
        <v>109000</v>
      </c>
      <c r="V14" s="42">
        <v>109000</v>
      </c>
      <c r="W14" s="42">
        <v>82000</v>
      </c>
      <c r="X14" s="42">
        <v>82000</v>
      </c>
      <c r="Y14" s="42">
        <v>57000</v>
      </c>
      <c r="Z14" s="43">
        <v>57000</v>
      </c>
      <c r="AE14" s="44">
        <v>57000</v>
      </c>
      <c r="AF14" s="42">
        <v>77000</v>
      </c>
      <c r="AG14" s="42">
        <v>77000</v>
      </c>
      <c r="AH14" s="42">
        <v>77000</v>
      </c>
      <c r="AI14" s="42">
        <v>245000</v>
      </c>
      <c r="AJ14" s="42">
        <v>245000</v>
      </c>
      <c r="AK14" s="42">
        <v>245000</v>
      </c>
      <c r="AL14" s="42">
        <v>245000</v>
      </c>
      <c r="AM14" s="42">
        <v>245000</v>
      </c>
      <c r="AN14" s="42">
        <v>121000</v>
      </c>
      <c r="AO14" s="45">
        <v>121000</v>
      </c>
      <c r="AP14" s="42">
        <v>98000</v>
      </c>
      <c r="AQ14" s="42">
        <v>98000</v>
      </c>
      <c r="AR14" s="42">
        <v>84000</v>
      </c>
      <c r="AS14" s="42">
        <v>84000</v>
      </c>
      <c r="AT14" s="43">
        <v>84000</v>
      </c>
      <c r="AW14" s="44">
        <v>84000</v>
      </c>
      <c r="AX14" s="42">
        <v>84000</v>
      </c>
      <c r="AY14" s="42">
        <v>84000</v>
      </c>
      <c r="AZ14" s="42">
        <v>84000</v>
      </c>
      <c r="BA14" s="42">
        <v>84000</v>
      </c>
      <c r="BB14" s="42">
        <v>235000</v>
      </c>
      <c r="BC14" s="42">
        <v>235000</v>
      </c>
      <c r="BD14" s="42">
        <v>235000</v>
      </c>
      <c r="BE14" s="42">
        <v>235000</v>
      </c>
      <c r="BF14" s="42">
        <v>81000</v>
      </c>
      <c r="BG14" s="42">
        <v>81000</v>
      </c>
      <c r="BH14" s="42">
        <v>81000</v>
      </c>
      <c r="BI14" s="42">
        <v>81000</v>
      </c>
      <c r="BJ14" s="42">
        <v>67450</v>
      </c>
      <c r="BK14" s="42">
        <v>124000</v>
      </c>
      <c r="BL14" s="43">
        <v>140550</v>
      </c>
      <c r="BO14" s="44">
        <v>128500</v>
      </c>
      <c r="BP14" s="42">
        <v>94250</v>
      </c>
      <c r="BQ14" s="42"/>
      <c r="BR14" s="42"/>
      <c r="BS14" s="42">
        <v>77900</v>
      </c>
      <c r="BT14" s="42">
        <v>132950</v>
      </c>
      <c r="BU14" s="42">
        <v>141350</v>
      </c>
      <c r="BV14" s="42">
        <v>141300</v>
      </c>
      <c r="BW14" s="42">
        <v>131550</v>
      </c>
      <c r="BX14" s="42">
        <v>107700</v>
      </c>
      <c r="BY14" s="42">
        <v>76900</v>
      </c>
      <c r="BZ14" s="42">
        <v>70650</v>
      </c>
      <c r="CA14" s="42">
        <v>62700</v>
      </c>
      <c r="CB14" s="42">
        <v>54400</v>
      </c>
      <c r="CC14" s="42">
        <v>88950</v>
      </c>
      <c r="CD14" s="43">
        <v>104350</v>
      </c>
      <c r="CG14" s="44">
        <v>131700</v>
      </c>
      <c r="CH14" s="42">
        <v>85300</v>
      </c>
      <c r="CI14" s="42">
        <v>95400</v>
      </c>
      <c r="CJ14" s="42">
        <v>93800</v>
      </c>
      <c r="CK14" s="42">
        <v>100100</v>
      </c>
      <c r="CL14" s="42">
        <v>143950</v>
      </c>
      <c r="CM14" s="42">
        <v>167750</v>
      </c>
      <c r="CN14" s="42">
        <v>138000</v>
      </c>
      <c r="CO14" s="42">
        <v>121000</v>
      </c>
      <c r="CP14" s="42">
        <v>109000</v>
      </c>
      <c r="CQ14" s="42">
        <v>47000</v>
      </c>
      <c r="CR14" s="42">
        <v>47000</v>
      </c>
      <c r="CS14" s="42">
        <v>121000</v>
      </c>
      <c r="CT14" s="42">
        <v>102000</v>
      </c>
      <c r="CU14" s="42">
        <v>56000</v>
      </c>
      <c r="CV14" s="43">
        <v>56000</v>
      </c>
      <c r="CY14" s="44">
        <v>56000</v>
      </c>
      <c r="CZ14" s="42">
        <v>56000</v>
      </c>
      <c r="DA14" s="42">
        <v>144000</v>
      </c>
      <c r="DB14" s="42">
        <v>144000</v>
      </c>
      <c r="DC14" s="42">
        <v>103000</v>
      </c>
      <c r="DD14" s="42">
        <v>103000</v>
      </c>
      <c r="DE14" s="42">
        <v>103000</v>
      </c>
      <c r="DF14" s="42">
        <v>103000</v>
      </c>
      <c r="DG14" s="42">
        <v>103000</v>
      </c>
      <c r="DH14" s="42">
        <v>103000</v>
      </c>
      <c r="DI14" s="42">
        <v>103000</v>
      </c>
      <c r="DJ14" s="42">
        <v>103000</v>
      </c>
      <c r="DK14" s="42">
        <v>103000</v>
      </c>
      <c r="DL14" s="42">
        <v>103000</v>
      </c>
      <c r="DM14" s="42">
        <v>103000</v>
      </c>
      <c r="DN14" s="43">
        <v>103000</v>
      </c>
      <c r="DZ14" s="44">
        <v>103000</v>
      </c>
      <c r="EA14" s="42">
        <v>140000</v>
      </c>
      <c r="EB14" s="42">
        <v>142000</v>
      </c>
      <c r="EC14" s="42">
        <v>142000</v>
      </c>
      <c r="ED14" s="42">
        <v>144000</v>
      </c>
      <c r="EE14" s="42">
        <v>144000</v>
      </c>
      <c r="EF14" s="42">
        <v>144000</v>
      </c>
      <c r="EG14" s="42">
        <v>144000</v>
      </c>
      <c r="EH14" s="42">
        <v>144000</v>
      </c>
      <c r="EI14" s="42">
        <v>196000</v>
      </c>
      <c r="EJ14" s="42">
        <v>199000</v>
      </c>
      <c r="EK14" s="42">
        <v>148000</v>
      </c>
      <c r="EL14" s="42">
        <v>148000</v>
      </c>
      <c r="EM14" s="42">
        <v>156000</v>
      </c>
      <c r="EN14" s="42">
        <v>156000</v>
      </c>
      <c r="EO14" s="43">
        <v>156000</v>
      </c>
      <c r="ER14" s="44">
        <v>156000</v>
      </c>
      <c r="ES14" s="42">
        <v>156000</v>
      </c>
      <c r="ET14" s="42">
        <v>156000</v>
      </c>
      <c r="EU14" s="42">
        <v>97000</v>
      </c>
      <c r="EV14" s="42">
        <v>86000</v>
      </c>
      <c r="EW14" s="42">
        <v>80000</v>
      </c>
      <c r="EX14" s="42">
        <v>162000</v>
      </c>
      <c r="EY14" s="42">
        <v>162000</v>
      </c>
      <c r="EZ14" s="42">
        <v>153000</v>
      </c>
      <c r="FA14" s="42">
        <v>159000</v>
      </c>
      <c r="FB14" s="42">
        <v>159000</v>
      </c>
      <c r="FC14" s="42">
        <v>159000</v>
      </c>
      <c r="FD14" s="42">
        <v>159000</v>
      </c>
      <c r="FE14" s="42">
        <v>159000</v>
      </c>
      <c r="FF14" s="42">
        <v>159000</v>
      </c>
      <c r="FG14" s="43">
        <v>159000</v>
      </c>
      <c r="FJ14" s="44">
        <v>159000</v>
      </c>
      <c r="FK14" s="42">
        <v>121000</v>
      </c>
      <c r="FL14" s="42">
        <v>111000</v>
      </c>
      <c r="FM14" s="42">
        <v>102000</v>
      </c>
      <c r="FN14" s="42">
        <v>93000</v>
      </c>
      <c r="FO14" s="42">
        <v>93000</v>
      </c>
      <c r="FP14" s="42">
        <v>113000</v>
      </c>
      <c r="FQ14" s="42">
        <v>243000</v>
      </c>
      <c r="FR14" s="42">
        <v>243000</v>
      </c>
      <c r="FS14" s="42">
        <v>243000</v>
      </c>
      <c r="FT14" s="42">
        <v>116000</v>
      </c>
      <c r="FU14" s="42">
        <v>116000</v>
      </c>
      <c r="FV14" s="42">
        <v>226000</v>
      </c>
      <c r="FW14" s="42">
        <v>226000</v>
      </c>
      <c r="FX14" s="42">
        <v>226000</v>
      </c>
      <c r="FY14" s="43">
        <v>226000</v>
      </c>
      <c r="GB14" s="44">
        <v>226000</v>
      </c>
      <c r="GC14" s="42">
        <v>226000</v>
      </c>
      <c r="GD14" s="42">
        <v>226000</v>
      </c>
      <c r="GE14" s="42">
        <v>140000</v>
      </c>
      <c r="GF14" s="42">
        <v>140000</v>
      </c>
      <c r="GG14" s="42">
        <v>140000</v>
      </c>
      <c r="GH14" s="42">
        <v>140000</v>
      </c>
      <c r="GI14" s="42">
        <v>338000</v>
      </c>
      <c r="GJ14" s="42">
        <v>170000</v>
      </c>
      <c r="GK14" s="42">
        <v>170000</v>
      </c>
      <c r="GL14" s="42">
        <v>170000</v>
      </c>
      <c r="GM14" s="42">
        <v>114000</v>
      </c>
      <c r="GN14" s="42">
        <v>114000</v>
      </c>
      <c r="GO14" s="42">
        <v>114000</v>
      </c>
      <c r="GP14" s="42">
        <v>300000</v>
      </c>
      <c r="GQ14" s="43">
        <v>300000</v>
      </c>
      <c r="GR14" s="49"/>
      <c r="GS14" s="49"/>
      <c r="GT14" s="46">
        <v>300000</v>
      </c>
      <c r="GU14" s="47">
        <v>300000</v>
      </c>
      <c r="GV14" s="47">
        <v>101000</v>
      </c>
      <c r="GW14" s="47">
        <v>150000</v>
      </c>
      <c r="GX14" s="47">
        <v>130000</v>
      </c>
      <c r="GY14" s="47">
        <v>130000</v>
      </c>
      <c r="GZ14" s="47">
        <v>130000</v>
      </c>
      <c r="HA14" s="47">
        <v>130000</v>
      </c>
      <c r="HB14" s="47">
        <v>130000</v>
      </c>
      <c r="HC14" s="47">
        <v>184000</v>
      </c>
      <c r="HD14" s="47">
        <v>184000</v>
      </c>
      <c r="HE14" s="47">
        <v>184000</v>
      </c>
      <c r="HF14" s="47">
        <v>204000</v>
      </c>
      <c r="HG14" s="47">
        <v>204000</v>
      </c>
      <c r="HH14" s="47">
        <v>335000</v>
      </c>
      <c r="HI14" s="48">
        <v>335000</v>
      </c>
      <c r="HJ14" s="50"/>
      <c r="HK14" s="50"/>
      <c r="HL14" s="51">
        <v>335000</v>
      </c>
      <c r="HM14" s="52">
        <v>213000</v>
      </c>
      <c r="HN14" s="52">
        <v>291000</v>
      </c>
      <c r="HO14" s="52">
        <v>291000</v>
      </c>
      <c r="HP14" s="52">
        <v>303000</v>
      </c>
      <c r="HQ14" s="52">
        <v>303000</v>
      </c>
      <c r="HR14" s="52">
        <v>303000</v>
      </c>
      <c r="HS14" s="52">
        <v>303000</v>
      </c>
      <c r="HT14" s="52">
        <v>262600</v>
      </c>
      <c r="HU14" s="52">
        <v>137800</v>
      </c>
      <c r="HV14" s="52">
        <v>160450</v>
      </c>
      <c r="HW14" s="52">
        <v>162000</v>
      </c>
      <c r="HX14" s="52">
        <v>162000</v>
      </c>
      <c r="HY14" s="52">
        <v>115000</v>
      </c>
      <c r="HZ14" s="53">
        <v>218000</v>
      </c>
      <c r="IA14" s="50">
        <v>218000</v>
      </c>
      <c r="IB14" s="50"/>
      <c r="IC14" s="50"/>
      <c r="ID14" s="73"/>
      <c r="IE14" s="50"/>
      <c r="IF14" s="50">
        <v>69150</v>
      </c>
      <c r="IG14" s="50">
        <v>141600</v>
      </c>
      <c r="IH14" s="50"/>
      <c r="II14" s="50">
        <v>7200</v>
      </c>
      <c r="IJ14" s="12">
        <v>497100</v>
      </c>
      <c r="IK14" s="147" t="s">
        <v>11</v>
      </c>
      <c r="IL14" s="12" t="s">
        <v>97</v>
      </c>
    </row>
    <row r="15" spans="1:564" s="12" customFormat="1" ht="19.5" thickBot="1" x14ac:dyDescent="0.25">
      <c r="A15" s="12" t="s">
        <v>4</v>
      </c>
      <c r="B15" s="13">
        <f>SUM(C15:ZZ15)</f>
        <v>36137650</v>
      </c>
      <c r="C15" s="54">
        <v>120450</v>
      </c>
      <c r="D15" s="54">
        <v>289350</v>
      </c>
      <c r="E15" s="54">
        <v>357900</v>
      </c>
      <c r="F15" s="54"/>
      <c r="G15" s="54">
        <v>486000</v>
      </c>
      <c r="H15" s="57"/>
      <c r="K15" s="56"/>
      <c r="L15" s="54"/>
      <c r="M15" s="54"/>
      <c r="N15" s="54"/>
      <c r="O15" s="54">
        <v>203850</v>
      </c>
      <c r="P15" s="54">
        <v>25800</v>
      </c>
      <c r="Q15" s="54">
        <v>142800</v>
      </c>
      <c r="R15" s="54">
        <v>206550</v>
      </c>
      <c r="S15" s="54">
        <v>93900</v>
      </c>
      <c r="T15" s="54">
        <v>258600</v>
      </c>
      <c r="U15" s="54">
        <v>17550</v>
      </c>
      <c r="V15" s="54">
        <v>9450</v>
      </c>
      <c r="W15" s="54">
        <v>8550</v>
      </c>
      <c r="X15" s="54">
        <f>26250+70350</f>
        <v>96600</v>
      </c>
      <c r="Y15" s="54">
        <f>26550+486000</f>
        <v>512550</v>
      </c>
      <c r="Z15" s="57"/>
      <c r="AE15" s="56"/>
      <c r="AF15" s="54"/>
      <c r="AG15" s="54"/>
      <c r="AH15" s="54"/>
      <c r="AI15" s="54"/>
      <c r="AJ15" s="54">
        <v>25200</v>
      </c>
      <c r="AK15" s="54">
        <v>169050</v>
      </c>
      <c r="AL15" s="54">
        <v>324150</v>
      </c>
      <c r="AM15" s="54">
        <v>445200</v>
      </c>
      <c r="AN15" s="54">
        <v>48750</v>
      </c>
      <c r="AO15" s="58"/>
      <c r="AP15" s="54">
        <f>22950+75900</f>
        <v>98850</v>
      </c>
      <c r="AQ15" s="54">
        <v>32850</v>
      </c>
      <c r="AR15" s="54"/>
      <c r="AS15" s="54">
        <f>486000+86850</f>
        <v>572850</v>
      </c>
      <c r="AT15" s="57">
        <v>250000</v>
      </c>
      <c r="AW15" s="56"/>
      <c r="AX15" s="54"/>
      <c r="AY15" s="54"/>
      <c r="AZ15" s="54">
        <v>139950</v>
      </c>
      <c r="BA15" s="54"/>
      <c r="BB15" s="54">
        <v>87150</v>
      </c>
      <c r="BC15" s="54">
        <v>36750</v>
      </c>
      <c r="BD15" s="54">
        <v>109650</v>
      </c>
      <c r="BE15" s="54">
        <v>288300</v>
      </c>
      <c r="BF15" s="54">
        <v>6900</v>
      </c>
      <c r="BG15" s="54">
        <v>38400</v>
      </c>
      <c r="BH15" s="54">
        <v>73200</v>
      </c>
      <c r="BI15" s="54">
        <f>250000+45000</f>
        <v>295000</v>
      </c>
      <c r="BJ15" s="54">
        <f>250000+305100</f>
        <v>555100</v>
      </c>
      <c r="BK15" s="54">
        <f>486000+48600+155700</f>
        <v>690300</v>
      </c>
      <c r="BL15" s="57"/>
      <c r="BO15" s="56"/>
      <c r="BP15" s="54"/>
      <c r="BQ15" s="54"/>
      <c r="BR15" s="54"/>
      <c r="BS15" s="54">
        <v>404100</v>
      </c>
      <c r="BT15" s="54">
        <v>241800</v>
      </c>
      <c r="BU15" s="54">
        <v>307650</v>
      </c>
      <c r="BV15" s="54">
        <v>322950</v>
      </c>
      <c r="BW15" s="54"/>
      <c r="BX15" s="54">
        <v>31800</v>
      </c>
      <c r="BY15" s="54">
        <v>23850</v>
      </c>
      <c r="BZ15" s="54">
        <v>7050</v>
      </c>
      <c r="CA15" s="54">
        <f>105300+67500</f>
        <v>172800</v>
      </c>
      <c r="CB15" s="54"/>
      <c r="CC15" s="54">
        <f>286350+273750+486000</f>
        <v>1046100</v>
      </c>
      <c r="CD15" s="57">
        <v>250000</v>
      </c>
      <c r="CG15" s="56"/>
      <c r="CH15" s="54"/>
      <c r="CI15" s="54"/>
      <c r="CJ15" s="54"/>
      <c r="CK15" s="54">
        <v>287850</v>
      </c>
      <c r="CL15" s="54">
        <v>418950</v>
      </c>
      <c r="CM15" s="54">
        <v>170250</v>
      </c>
      <c r="CN15" s="54">
        <f>250000+250000+158100</f>
        <v>658100</v>
      </c>
      <c r="CO15" s="54"/>
      <c r="CP15" s="54"/>
      <c r="CQ15" s="54">
        <f>9600+128850</f>
        <v>138450</v>
      </c>
      <c r="CR15" s="54">
        <v>238500</v>
      </c>
      <c r="CS15" s="54"/>
      <c r="CT15" s="54">
        <f>323250</f>
        <v>323250</v>
      </c>
      <c r="CU15" s="54">
        <v>486000</v>
      </c>
      <c r="CV15" s="57"/>
      <c r="CY15" s="56">
        <v>9150</v>
      </c>
      <c r="CZ15" s="54"/>
      <c r="DA15" s="54"/>
      <c r="DB15" s="54">
        <v>80250</v>
      </c>
      <c r="DC15" s="54"/>
      <c r="DD15" s="54">
        <f>103200+284900</f>
        <v>388100</v>
      </c>
      <c r="DE15" s="54"/>
      <c r="DF15" s="54">
        <v>10650</v>
      </c>
      <c r="DG15" s="54">
        <f>3600+173550</f>
        <v>177150</v>
      </c>
      <c r="DH15" s="54">
        <v>187650</v>
      </c>
      <c r="DI15" s="54"/>
      <c r="DJ15" s="54">
        <f>10500+158550</f>
        <v>169050</v>
      </c>
      <c r="DK15" s="54">
        <v>5250</v>
      </c>
      <c r="DL15" s="54"/>
      <c r="DM15" s="54">
        <f>486000+48000</f>
        <v>534000</v>
      </c>
      <c r="DN15" s="57"/>
      <c r="DZ15" s="56">
        <f>7950+39450</f>
        <v>47400</v>
      </c>
      <c r="EA15" s="54">
        <v>600</v>
      </c>
      <c r="EB15" s="54"/>
      <c r="EC15" s="54">
        <v>60000</v>
      </c>
      <c r="ED15" s="54">
        <v>83400</v>
      </c>
      <c r="EE15" s="54">
        <v>464400</v>
      </c>
      <c r="EF15" s="54">
        <v>76050</v>
      </c>
      <c r="EG15" s="54">
        <v>1500</v>
      </c>
      <c r="EH15" s="54">
        <v>100800</v>
      </c>
      <c r="EI15" s="54">
        <v>44100</v>
      </c>
      <c r="EJ15" s="54">
        <v>171450</v>
      </c>
      <c r="EK15" s="54">
        <v>71250</v>
      </c>
      <c r="EL15" s="54">
        <v>153900</v>
      </c>
      <c r="EM15" s="54">
        <v>86400</v>
      </c>
      <c r="EN15" s="54">
        <f>1181000+24300</f>
        <v>1205300</v>
      </c>
      <c r="EO15" s="57"/>
      <c r="ER15" s="56"/>
      <c r="ES15" s="54"/>
      <c r="ET15" s="54"/>
      <c r="EU15" s="54"/>
      <c r="EV15" s="54">
        <v>328350</v>
      </c>
      <c r="EW15" s="54">
        <v>50400</v>
      </c>
      <c r="EX15" s="54"/>
      <c r="EY15" s="54">
        <f>250000+353100</f>
        <v>603100</v>
      </c>
      <c r="EZ15" s="54">
        <v>70200</v>
      </c>
      <c r="FA15" s="54">
        <f>250000+150000+93750</f>
        <v>493750</v>
      </c>
      <c r="FB15" s="54"/>
      <c r="FC15" s="54">
        <f>73500+491100</f>
        <v>564600</v>
      </c>
      <c r="FD15" s="54">
        <v>507000</v>
      </c>
      <c r="FE15" s="54">
        <v>55650</v>
      </c>
      <c r="FF15" s="54">
        <v>1181000</v>
      </c>
      <c r="FG15" s="57"/>
      <c r="FJ15" s="56"/>
      <c r="FK15" s="54"/>
      <c r="FL15" s="54"/>
      <c r="FM15" s="54"/>
      <c r="FN15" s="54"/>
      <c r="FO15" s="54">
        <v>433800</v>
      </c>
      <c r="FP15" s="54">
        <v>237000</v>
      </c>
      <c r="FQ15" s="54">
        <v>784200</v>
      </c>
      <c r="FR15" s="54">
        <v>347550</v>
      </c>
      <c r="FS15" s="54">
        <v>900</v>
      </c>
      <c r="FT15" s="54">
        <v>62400</v>
      </c>
      <c r="FU15" s="54">
        <v>296250</v>
      </c>
      <c r="FV15" s="54">
        <v>19950</v>
      </c>
      <c r="FW15" s="54">
        <f>22950+280050</f>
        <v>303000</v>
      </c>
      <c r="FX15" s="54">
        <f>1181000+61050</f>
        <v>1242050</v>
      </c>
      <c r="FY15" s="57"/>
      <c r="GB15" s="56"/>
      <c r="GC15" s="54"/>
      <c r="GD15" s="54"/>
      <c r="GE15" s="54">
        <v>171900</v>
      </c>
      <c r="GF15" s="54">
        <v>249600</v>
      </c>
      <c r="GG15" s="54">
        <v>274050</v>
      </c>
      <c r="GH15" s="54"/>
      <c r="GI15" s="54">
        <v>326250</v>
      </c>
      <c r="GJ15" s="54">
        <v>23250</v>
      </c>
      <c r="GK15" s="54">
        <v>47550</v>
      </c>
      <c r="GL15" s="54">
        <v>22200</v>
      </c>
      <c r="GM15" s="54"/>
      <c r="GN15" s="54">
        <v>229950</v>
      </c>
      <c r="GO15" s="54">
        <f>24150+194100</f>
        <v>218250</v>
      </c>
      <c r="GP15" s="54">
        <v>1181000</v>
      </c>
      <c r="GQ15" s="57"/>
      <c r="GR15" s="49"/>
      <c r="GS15" s="49"/>
      <c r="GT15" s="59"/>
      <c r="GU15" s="60"/>
      <c r="GV15" s="60"/>
      <c r="GW15" s="60"/>
      <c r="GX15" s="60">
        <v>41100</v>
      </c>
      <c r="GY15" s="60">
        <v>307050</v>
      </c>
      <c r="GZ15" s="60">
        <v>334200</v>
      </c>
      <c r="HA15" s="60">
        <v>200100</v>
      </c>
      <c r="HB15" s="60"/>
      <c r="HC15" s="60">
        <v>404250</v>
      </c>
      <c r="HD15" s="60">
        <v>255300</v>
      </c>
      <c r="HE15" s="60">
        <v>374250</v>
      </c>
      <c r="HF15" s="60">
        <v>222300</v>
      </c>
      <c r="HG15" s="60">
        <v>177900</v>
      </c>
      <c r="HH15" s="49">
        <v>438000</v>
      </c>
      <c r="HI15" s="61">
        <v>1181000</v>
      </c>
      <c r="HJ15" s="50"/>
      <c r="HK15" s="50"/>
      <c r="HL15" s="74">
        <v>0</v>
      </c>
      <c r="HM15" s="64"/>
      <c r="HN15" s="64">
        <v>78450</v>
      </c>
      <c r="HO15" s="64">
        <v>31500</v>
      </c>
      <c r="HP15" s="64">
        <v>367950</v>
      </c>
      <c r="HQ15" s="64">
        <v>648150</v>
      </c>
      <c r="HR15" s="64">
        <v>20550</v>
      </c>
      <c r="HS15" s="64">
        <v>450</v>
      </c>
      <c r="HT15" s="64">
        <v>663450</v>
      </c>
      <c r="HU15" s="64">
        <v>812550</v>
      </c>
      <c r="HV15" s="64"/>
      <c r="HW15" s="64">
        <v>828300</v>
      </c>
      <c r="HX15" s="64"/>
      <c r="HY15" s="64">
        <f>67950+402000</f>
        <v>469950</v>
      </c>
      <c r="HZ15" s="65">
        <v>1181000</v>
      </c>
      <c r="IA15" s="50"/>
      <c r="IB15" s="50"/>
      <c r="IC15" s="50"/>
      <c r="ID15" s="50"/>
      <c r="IE15" s="50"/>
      <c r="IF15" s="50"/>
      <c r="IG15" s="50"/>
      <c r="IH15" s="50"/>
      <c r="II15" s="50"/>
      <c r="IK15" s="147" t="s">
        <v>5</v>
      </c>
      <c r="IL15" s="12" t="s">
        <v>98</v>
      </c>
    </row>
    <row r="16" spans="1:564" s="12" customFormat="1" ht="18.75" x14ac:dyDescent="0.25">
      <c r="A16" s="12" t="s">
        <v>6</v>
      </c>
      <c r="B16" s="31">
        <f>B15-B14</f>
        <v>7093300</v>
      </c>
      <c r="G16" s="66" t="s">
        <v>19</v>
      </c>
      <c r="H16"/>
      <c r="Y16" s="66" t="s">
        <v>20</v>
      </c>
      <c r="Z16" s="67">
        <f>SUM(K15:Z15)-SUM(K14:Z14)</f>
        <v>249200</v>
      </c>
      <c r="AO16" s="41"/>
      <c r="AS16" s="66" t="s">
        <v>20</v>
      </c>
      <c r="AT16" s="67">
        <f>SUM(AE15:AT15)-SUM(AE14:AT14)</f>
        <v>-236100</v>
      </c>
      <c r="BK16" s="66" t="s">
        <v>20</v>
      </c>
      <c r="BL16" s="67">
        <f>SUM(AW15:BL15)-SUM(AW14:BL14)</f>
        <v>304700</v>
      </c>
      <c r="CC16" s="66" t="s">
        <v>20</v>
      </c>
      <c r="CD16" s="67">
        <f>SUM(BO15:CD15)-SUM(BO14:CD14)</f>
        <v>1394650</v>
      </c>
      <c r="CU16" s="66" t="s">
        <v>20</v>
      </c>
      <c r="CV16" s="67">
        <f>SUM(CG15:CV15)-SUM(CG14:CV14)</f>
        <v>1106350</v>
      </c>
      <c r="DM16" s="66" t="s">
        <v>20</v>
      </c>
      <c r="DN16" s="67">
        <f>SUM(CY15:DN15)-SUM(CY14:DN14)</f>
        <v>-74750</v>
      </c>
      <c r="EN16" s="66" t="s">
        <v>21</v>
      </c>
      <c r="EO16" s="67">
        <f>SUM(DZ15:EO15)-SUM(DZ14:EO14)</f>
        <v>160550</v>
      </c>
      <c r="FF16" s="66" t="s">
        <v>21</v>
      </c>
      <c r="FG16" s="67">
        <f>SUM(ER15:FG15)-SUM(ER14:FG14)</f>
        <v>1533050</v>
      </c>
      <c r="FX16" s="66" t="s">
        <v>21</v>
      </c>
      <c r="FY16" s="67">
        <f>SUM(FJ15:FY15)-SUM(FJ14:FY14)</f>
        <v>1070100</v>
      </c>
      <c r="GP16" s="66" t="s">
        <v>21</v>
      </c>
      <c r="GQ16" s="67">
        <f>SUM(GB15:GQ15)-SUM(GB14:GQ14)</f>
        <v>-284000</v>
      </c>
      <c r="GR16" s="49"/>
      <c r="GS16" s="49"/>
      <c r="GT16" s="49"/>
      <c r="GU16" s="49"/>
      <c r="GV16" s="49"/>
      <c r="GW16" s="49"/>
      <c r="GX16" s="49"/>
      <c r="GY16" s="49"/>
      <c r="GZ16" s="49"/>
      <c r="HA16" s="49"/>
      <c r="HB16" s="49"/>
      <c r="HC16" s="49"/>
      <c r="HD16" s="49"/>
      <c r="HE16" s="49"/>
      <c r="HF16" s="49"/>
      <c r="HG16" s="49"/>
      <c r="HH16" s="68" t="s">
        <v>21</v>
      </c>
      <c r="HI16" s="33">
        <f>SUM(GT15:HI15)-SUM(GT14:HI14)</f>
        <v>804450</v>
      </c>
      <c r="HJ16" s="50"/>
      <c r="HK16" s="50"/>
      <c r="HL16" s="50"/>
      <c r="HM16" s="50"/>
      <c r="HN16" s="50"/>
      <c r="HO16" s="50"/>
      <c r="HP16" s="50"/>
      <c r="HQ16" s="50"/>
      <c r="HR16" s="50"/>
      <c r="HS16" s="50"/>
      <c r="HT16" s="50"/>
      <c r="HU16" s="50"/>
      <c r="HV16" s="50"/>
      <c r="HW16" s="50"/>
      <c r="HX16" s="50"/>
      <c r="HY16" s="50"/>
      <c r="HZ16" s="69" t="s">
        <v>22</v>
      </c>
      <c r="IA16" s="35">
        <f>SUM(HL15:IA15)-SUM(HL14:IA14)</f>
        <v>1324450</v>
      </c>
      <c r="IB16" s="50"/>
      <c r="IC16" s="50"/>
      <c r="ID16" s="50"/>
      <c r="IE16" s="50"/>
      <c r="IF16" s="50"/>
      <c r="IG16" s="50"/>
      <c r="IH16" s="50"/>
      <c r="II16" s="50"/>
      <c r="IK16" s="147" t="s">
        <v>5</v>
      </c>
    </row>
    <row r="17" spans="1:378" ht="19.5" thickBot="1" x14ac:dyDescent="0.3">
      <c r="A17" s="12"/>
      <c r="C17" s="12"/>
      <c r="D17" s="12"/>
      <c r="E17" s="12"/>
      <c r="F17" s="12"/>
      <c r="G17" s="12"/>
      <c r="H17" s="70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70">
        <f>SUM(K15:Z15)/SUM(K14:Z14)</f>
        <v>1.187792012057272</v>
      </c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41"/>
      <c r="AP17" s="12"/>
      <c r="AQ17" s="12"/>
      <c r="AR17" s="12"/>
      <c r="AS17" s="12"/>
      <c r="AT17" s="70">
        <f>SUM(AE15:AT15)/SUM(AE14:AT14)</f>
        <v>0.89282796187017699</v>
      </c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L17" s="70">
        <f>SUM(AW15:BL15)/SUM(AW14:BL14)</f>
        <v>1.151140873015873</v>
      </c>
      <c r="CD17" s="70">
        <f>SUM(BO15:CD15)/SUM(BO14:CD14)</f>
        <v>1.986699211150023</v>
      </c>
      <c r="CU17" s="12"/>
      <c r="CV17" s="70">
        <f>SUM(CG15:CV15)/SUM(CG14:CV14)</f>
        <v>1.685046439628483</v>
      </c>
      <c r="DM17" s="12"/>
      <c r="DN17" s="70">
        <f>SUM(CY15:DN15)/SUM(CY14:DN14)</f>
        <v>0.95430929095354522</v>
      </c>
      <c r="EN17" s="12"/>
      <c r="EO17" s="70">
        <f>SUM(DZ15:EO15)/SUM(DZ14:EO14)</f>
        <v>1.0667290108063174</v>
      </c>
      <c r="FF17" s="12"/>
      <c r="FG17" s="70">
        <f>SUM(ER15:FG15)/SUM(ER14:FG14)</f>
        <v>1.6605127100387764</v>
      </c>
      <c r="FX17" s="12"/>
      <c r="FY17" s="70">
        <f>SUM(FJ15:FY15)/SUM(FJ14:FY14)</f>
        <v>1.4027474595408356</v>
      </c>
      <c r="GP17" s="12"/>
      <c r="GQ17" s="70">
        <f>SUM(GB15:GQ15)/SUM(GB14:GQ14)</f>
        <v>0.90620871862615593</v>
      </c>
      <c r="GR17" s="7"/>
      <c r="GS17" s="7"/>
      <c r="GT17" s="7"/>
      <c r="GU17" s="7"/>
      <c r="GV17" s="7"/>
      <c r="GW17" s="7"/>
      <c r="GX17" s="7"/>
      <c r="GY17" s="7"/>
      <c r="GZ17" s="7"/>
      <c r="HA17" s="7"/>
      <c r="HB17" s="7"/>
      <c r="HC17" s="7"/>
      <c r="HD17" s="7"/>
      <c r="HE17" s="7"/>
      <c r="HF17" s="7"/>
      <c r="HG17" s="7"/>
      <c r="HH17" s="37"/>
      <c r="HI17" s="38">
        <f>SUM(GT15:HI15)/SUM(GT14:HI14)</f>
        <v>1.2569306930693069</v>
      </c>
      <c r="HJ17" s="8"/>
      <c r="HK17" s="8"/>
      <c r="HL17" s="8"/>
      <c r="HM17" s="8"/>
      <c r="HN17" s="8"/>
      <c r="HO17" s="8"/>
      <c r="HP17" s="8"/>
      <c r="HQ17" s="8"/>
      <c r="HR17" s="8"/>
      <c r="HS17" s="8"/>
      <c r="HT17" s="8"/>
      <c r="HU17" s="8"/>
      <c r="HV17" s="8"/>
      <c r="HW17" s="8"/>
      <c r="HX17" s="8"/>
      <c r="HY17" s="8"/>
      <c r="HZ17" s="39"/>
      <c r="IA17" s="40">
        <f>SUM(HL15:IA15)/SUM(HL14:IA14)</f>
        <v>1.350583003560226</v>
      </c>
      <c r="IB17" s="8"/>
      <c r="IC17" s="8"/>
      <c r="ID17" s="8"/>
      <c r="IE17" s="8"/>
      <c r="IF17" s="8"/>
      <c r="IG17" s="8"/>
      <c r="IH17" s="8"/>
      <c r="II17" s="8"/>
      <c r="IK17" s="148" t="s">
        <v>9</v>
      </c>
    </row>
    <row r="18" spans="1:378" s="71" customFormat="1" ht="18.75" x14ac:dyDescent="0.25">
      <c r="A18" s="75" t="s">
        <v>25</v>
      </c>
      <c r="B18" s="76" t="e">
        <f>B20/B19</f>
        <v>#NAME?</v>
      </c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41"/>
      <c r="AG18" s="41"/>
      <c r="AH18" s="41"/>
      <c r="AI18" s="41"/>
      <c r="AJ18" s="41"/>
      <c r="AK18" s="41"/>
      <c r="AL18" s="41"/>
      <c r="AM18" s="41"/>
      <c r="AN18" s="41"/>
      <c r="AO18" s="41"/>
      <c r="AP18" s="41"/>
      <c r="AQ18" s="41"/>
      <c r="AR18" s="41"/>
      <c r="AS18" s="41"/>
      <c r="AT18" s="41"/>
      <c r="AU18" s="41"/>
      <c r="AV18" s="41"/>
      <c r="AW18" s="41"/>
      <c r="AX18" s="41"/>
      <c r="AY18" s="41"/>
      <c r="AZ18" s="41"/>
      <c r="BA18" s="41"/>
      <c r="BB18" s="41"/>
      <c r="BC18" s="41"/>
      <c r="BD18" s="41"/>
      <c r="BE18" s="41"/>
      <c r="BF18" s="41"/>
      <c r="GR18" s="7"/>
      <c r="GS18" s="7"/>
      <c r="GT18" s="7"/>
      <c r="GU18" s="7"/>
      <c r="GV18" s="7"/>
      <c r="GW18" s="7"/>
      <c r="GX18" s="7"/>
      <c r="GY18" s="7"/>
      <c r="GZ18" s="7"/>
      <c r="HA18" s="7"/>
      <c r="HB18" s="7"/>
      <c r="HC18" s="7"/>
      <c r="HD18" s="7"/>
      <c r="HE18" s="7"/>
      <c r="HF18" s="7"/>
      <c r="HG18" s="7"/>
      <c r="HH18" s="7"/>
      <c r="HI18" s="7"/>
      <c r="HJ18" s="8"/>
      <c r="HK18" s="8"/>
      <c r="HL18" s="8"/>
      <c r="HM18" s="8"/>
      <c r="HN18" s="8"/>
      <c r="HO18" s="8"/>
      <c r="HP18" s="8"/>
      <c r="HQ18" s="8"/>
      <c r="HR18" s="8"/>
      <c r="HS18" s="8"/>
      <c r="HT18" s="8"/>
      <c r="HU18" s="8"/>
      <c r="HV18" s="8"/>
      <c r="HW18" s="8"/>
      <c r="HX18" s="8"/>
      <c r="HY18" s="8"/>
      <c r="HZ18" s="8"/>
      <c r="IA18" s="8"/>
      <c r="IB18" s="8"/>
      <c r="IC18" s="8"/>
      <c r="ID18" s="8"/>
      <c r="IE18" s="8"/>
      <c r="IF18" s="8"/>
      <c r="IG18" s="8"/>
      <c r="IH18" s="8"/>
      <c r="II18" s="8"/>
      <c r="IK18" s="148" t="s">
        <v>9</v>
      </c>
    </row>
    <row r="19" spans="1:378" s="41" customFormat="1" ht="18.75" x14ac:dyDescent="0.2">
      <c r="A19" s="78" t="s">
        <v>2</v>
      </c>
      <c r="B19" s="79">
        <f>SUM(C19:ZZ19)</f>
        <v>1008000</v>
      </c>
      <c r="E19" s="80">
        <v>70000</v>
      </c>
      <c r="F19" s="45">
        <v>70000</v>
      </c>
      <c r="G19" s="45">
        <v>46000</v>
      </c>
      <c r="H19" s="45">
        <v>46000</v>
      </c>
      <c r="I19" s="45">
        <v>46000</v>
      </c>
      <c r="J19" s="45">
        <v>43000</v>
      </c>
      <c r="K19" s="45">
        <v>35000</v>
      </c>
      <c r="L19" s="45">
        <v>35000</v>
      </c>
      <c r="M19" s="45">
        <v>35000</v>
      </c>
      <c r="N19" s="45">
        <v>35000</v>
      </c>
      <c r="O19" s="45">
        <v>35000</v>
      </c>
      <c r="P19" s="45">
        <v>32000</v>
      </c>
      <c r="Q19" s="45">
        <v>32000</v>
      </c>
      <c r="R19" s="45">
        <v>32000</v>
      </c>
      <c r="S19" s="45">
        <v>32000</v>
      </c>
      <c r="T19" s="45"/>
      <c r="U19" s="81">
        <v>32000</v>
      </c>
      <c r="AH19" s="80">
        <v>32000</v>
      </c>
      <c r="AI19" s="45"/>
      <c r="AJ19" s="45">
        <v>32000</v>
      </c>
      <c r="AK19" s="45">
        <v>32000</v>
      </c>
      <c r="AL19" s="45">
        <v>32000</v>
      </c>
      <c r="AM19" s="45"/>
      <c r="AN19" s="45">
        <v>32000</v>
      </c>
      <c r="AO19" s="45">
        <v>32000</v>
      </c>
      <c r="AP19" s="45">
        <v>32000</v>
      </c>
      <c r="AQ19" s="45">
        <v>32000</v>
      </c>
      <c r="AR19" s="45">
        <v>32000</v>
      </c>
      <c r="AS19" s="45">
        <v>32000</v>
      </c>
      <c r="AT19" s="45">
        <v>32000</v>
      </c>
      <c r="AU19" s="45"/>
      <c r="AV19" s="81"/>
      <c r="GR19" s="49"/>
      <c r="GS19" s="49"/>
      <c r="GT19" s="49"/>
      <c r="GU19" s="49"/>
      <c r="GV19" s="49"/>
      <c r="GW19" s="49"/>
      <c r="GX19" s="49"/>
      <c r="GY19" s="49"/>
      <c r="GZ19" s="49"/>
      <c r="HA19" s="49"/>
      <c r="HB19" s="49"/>
      <c r="HC19" s="49"/>
      <c r="HD19" s="49"/>
      <c r="HE19" s="49"/>
      <c r="HF19" s="49"/>
      <c r="HG19" s="49"/>
      <c r="HH19" s="49"/>
      <c r="HI19" s="49"/>
      <c r="HJ19" s="50"/>
      <c r="HK19" s="50"/>
      <c r="HL19" s="50"/>
      <c r="HM19" s="50"/>
      <c r="HN19" s="50"/>
      <c r="HO19" s="50"/>
      <c r="HP19" s="50"/>
      <c r="HQ19" s="50"/>
      <c r="HR19" s="50"/>
      <c r="HS19" s="50"/>
      <c r="HT19" s="50"/>
      <c r="HU19" s="50"/>
      <c r="HV19" s="50"/>
      <c r="HW19" s="50"/>
      <c r="HX19" s="50"/>
      <c r="HY19" s="50"/>
      <c r="HZ19" s="50"/>
      <c r="IA19" s="50"/>
      <c r="IB19" s="50"/>
      <c r="IC19" s="50"/>
      <c r="ID19" s="50"/>
      <c r="IE19" s="50"/>
      <c r="IF19" s="50"/>
      <c r="IG19" s="50"/>
      <c r="IH19" s="50"/>
      <c r="II19" s="50"/>
      <c r="IK19" s="147"/>
    </row>
    <row r="20" spans="1:378" s="41" customFormat="1" ht="18.75" x14ac:dyDescent="0.2">
      <c r="A20" s="78" t="s">
        <v>4</v>
      </c>
      <c r="B20" s="79" t="e">
        <f>SUM(C20:ZZ20)</f>
        <v>#NAME?</v>
      </c>
      <c r="E20" s="83">
        <v>1200</v>
      </c>
      <c r="F20" s="58">
        <v>4200</v>
      </c>
      <c r="G20" s="58">
        <v>1350</v>
      </c>
      <c r="H20" s="58"/>
      <c r="I20" s="58">
        <v>50100</v>
      </c>
      <c r="J20" s="58">
        <v>63450</v>
      </c>
      <c r="K20" s="58"/>
      <c r="L20" s="58">
        <f>65400+100000</f>
        <v>165400</v>
      </c>
      <c r="M20" s="58">
        <v>14250</v>
      </c>
      <c r="N20" s="58">
        <f>4800+40800</f>
        <v>45600</v>
      </c>
      <c r="O20" s="58">
        <v>9900</v>
      </c>
      <c r="P20" s="58">
        <v>5400</v>
      </c>
      <c r="Q20" s="58">
        <f>1650+19950</f>
        <v>21600</v>
      </c>
      <c r="R20" s="58">
        <v>13800</v>
      </c>
      <c r="S20" s="58">
        <f>8400+234000</f>
        <v>242400</v>
      </c>
      <c r="T20" s="58"/>
      <c r="U20" s="84"/>
      <c r="AH20" s="83"/>
      <c r="AI20" s="58"/>
      <c r="AJ20" s="58"/>
      <c r="AK20" s="58"/>
      <c r="AL20" s="58">
        <v>32400</v>
      </c>
      <c r="AM20" s="58"/>
      <c r="AN20" s="58"/>
      <c r="AO20" s="58">
        <v>16500</v>
      </c>
      <c r="AP20" s="58">
        <f>14400+36750</f>
        <v>51150</v>
      </c>
      <c r="AQ20" s="58">
        <f>14250+14700</f>
        <v>28950</v>
      </c>
      <c r="AR20" s="58">
        <f>11400+29100</f>
        <v>40500</v>
      </c>
      <c r="AS20" s="58">
        <f>15900+42300</f>
        <v>58200</v>
      </c>
      <c r="AT20" s="58">
        <v>1350</v>
      </c>
      <c r="AU20" s="58">
        <f>14700+34500</f>
        <v>49200</v>
      </c>
      <c r="AV20" s="84">
        <v>9600</v>
      </c>
      <c r="AW20" s="85"/>
      <c r="GR20" s="49"/>
      <c r="GS20" s="49"/>
      <c r="GT20" s="49"/>
      <c r="GU20" s="49"/>
      <c r="GV20" s="49"/>
      <c r="GW20" s="49"/>
      <c r="GX20" s="49"/>
      <c r="GY20" s="49"/>
      <c r="GZ20" s="49"/>
      <c r="HA20" s="49"/>
      <c r="HB20" s="49"/>
      <c r="HC20" s="49"/>
      <c r="HD20" s="49"/>
      <c r="HE20" s="49"/>
      <c r="HF20" s="49"/>
      <c r="HG20" s="49"/>
      <c r="HH20" s="49"/>
      <c r="HI20" s="49"/>
      <c r="HJ20" s="50"/>
      <c r="HK20" s="50"/>
      <c r="HL20" s="50"/>
      <c r="HM20" s="50"/>
      <c r="HN20" s="50"/>
      <c r="HO20" s="50"/>
      <c r="HP20" s="50"/>
      <c r="HQ20" s="50"/>
      <c r="HR20" s="50"/>
      <c r="HS20" s="50"/>
      <c r="HT20" s="50"/>
      <c r="HU20" s="50"/>
      <c r="HV20" s="50"/>
      <c r="HW20" s="50"/>
      <c r="HX20" s="50"/>
      <c r="HY20" s="50"/>
      <c r="HZ20" s="50"/>
      <c r="IA20" s="50"/>
      <c r="IB20" s="50"/>
      <c r="IC20" s="50"/>
      <c r="ID20" s="50"/>
      <c r="IE20" s="50"/>
      <c r="IF20" s="50"/>
      <c r="IG20" s="50"/>
      <c r="IH20" s="50"/>
      <c r="II20" s="50"/>
      <c r="IK20" s="147">
        <v>2</v>
      </c>
      <c r="NN20" s="41" t="e">
        <f>+NK21NJNL20:NN20</f>
        <v>#NAME?</v>
      </c>
    </row>
    <row r="21" spans="1:378" s="41" customFormat="1" ht="18.75" x14ac:dyDescent="0.2">
      <c r="A21" s="78" t="s">
        <v>6</v>
      </c>
      <c r="B21" s="86" t="e">
        <f>B20-B19</f>
        <v>#NAME?</v>
      </c>
      <c r="S21" s="66" t="s">
        <v>27</v>
      </c>
      <c r="T21" s="67">
        <f>SUM(E20:U20)-SUM(E19:U19)</f>
        <v>-17350</v>
      </c>
      <c r="AV21" s="85" t="s">
        <v>28</v>
      </c>
      <c r="AW21" s="87">
        <f>SUM(V20:AV20)-SUM(V19:AW19)</f>
        <v>-64150</v>
      </c>
      <c r="GR21" s="49"/>
      <c r="GS21" s="49"/>
      <c r="GT21" s="49"/>
      <c r="GU21" s="49"/>
      <c r="GV21" s="49"/>
      <c r="GW21" s="49"/>
      <c r="GX21" s="49"/>
      <c r="GY21" s="49"/>
      <c r="GZ21" s="49"/>
      <c r="HA21" s="49"/>
      <c r="HB21" s="49"/>
      <c r="HC21" s="49"/>
      <c r="HD21" s="49"/>
      <c r="HE21" s="49"/>
      <c r="HF21" s="49"/>
      <c r="HG21" s="49"/>
      <c r="HH21" s="49"/>
      <c r="HI21" s="49"/>
      <c r="HJ21" s="50"/>
      <c r="HK21" s="50"/>
      <c r="HL21" s="50"/>
      <c r="HM21" s="50"/>
      <c r="HN21" s="50"/>
      <c r="HO21" s="50"/>
      <c r="HP21" s="50"/>
      <c r="HQ21" s="50"/>
      <c r="HR21" s="50"/>
      <c r="HS21" s="50"/>
      <c r="HT21" s="50"/>
      <c r="HU21" s="50"/>
      <c r="HV21" s="50"/>
      <c r="HW21" s="50"/>
      <c r="HX21" s="50"/>
      <c r="HY21" s="50"/>
      <c r="HZ21" s="50"/>
      <c r="IA21" s="50"/>
      <c r="IB21" s="50"/>
      <c r="IC21" s="50"/>
      <c r="ID21" s="50"/>
      <c r="IE21" s="50"/>
      <c r="IF21" s="50"/>
      <c r="IG21" s="50"/>
      <c r="IH21" s="50"/>
      <c r="II21" s="50"/>
      <c r="IK21" s="147">
        <v>0</v>
      </c>
    </row>
    <row r="22" spans="1:378" ht="18.75" x14ac:dyDescent="0.2">
      <c r="A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70">
        <f>SUM(E20:U20)/SUM(E19:U19)</f>
        <v>0.97355182926829265</v>
      </c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41"/>
      <c r="AP22" s="12"/>
      <c r="AQ22" s="12"/>
      <c r="AR22" s="12"/>
      <c r="AS22" s="12"/>
      <c r="AT22" s="12"/>
      <c r="AU22" s="12"/>
      <c r="AV22" s="12"/>
      <c r="AW22" s="70">
        <f>SUM(V20:AV20)/SUM(V19:AW19)</f>
        <v>0.81775568181818181</v>
      </c>
      <c r="AX22" s="12"/>
      <c r="AY22" s="12"/>
      <c r="AZ22" s="12"/>
      <c r="BA22" s="12"/>
      <c r="BB22" s="12"/>
      <c r="BC22" s="12"/>
      <c r="BD22" s="12"/>
      <c r="BE22" s="12"/>
      <c r="BF22" s="12"/>
      <c r="GR22" s="7"/>
      <c r="GS22" s="7"/>
      <c r="GT22" s="7"/>
      <c r="GU22" s="7"/>
      <c r="GV22" s="7"/>
      <c r="GW22" s="7"/>
      <c r="GX22" s="7"/>
      <c r="GY22" s="7"/>
      <c r="GZ22" s="7"/>
      <c r="HA22" s="7"/>
      <c r="HB22" s="7"/>
      <c r="HC22" s="7"/>
      <c r="HD22" s="7"/>
      <c r="HE22" s="7"/>
      <c r="HF22" s="7"/>
      <c r="HG22" s="7"/>
      <c r="HH22" s="7"/>
      <c r="HI22" s="7"/>
      <c r="HJ22" s="8"/>
      <c r="HK22" s="8"/>
      <c r="HL22" s="8"/>
      <c r="HM22" s="8"/>
      <c r="HN22" s="8"/>
      <c r="HO22" s="8"/>
      <c r="HP22" s="8"/>
      <c r="HQ22" s="8"/>
      <c r="HR22" s="8"/>
      <c r="HS22" s="8"/>
      <c r="HT22" s="8"/>
      <c r="HU22" s="8"/>
      <c r="HV22" s="8"/>
      <c r="HW22" s="8"/>
      <c r="HX22" s="8"/>
      <c r="HY22" s="8"/>
      <c r="HZ22" s="8"/>
      <c r="IA22" s="8"/>
      <c r="IB22" s="8"/>
      <c r="IC22" s="8"/>
      <c r="ID22" s="8"/>
      <c r="IE22" s="8"/>
      <c r="IF22" s="8"/>
      <c r="IG22" s="8"/>
      <c r="IH22" s="8"/>
      <c r="II22" s="8"/>
      <c r="IK22" s="148">
        <v>1</v>
      </c>
    </row>
    <row r="23" spans="1:378" s="71" customFormat="1" ht="18.75" x14ac:dyDescent="0.25">
      <c r="A23" s="75" t="s">
        <v>29</v>
      </c>
      <c r="B23" s="76">
        <f>B25/B24</f>
        <v>0.42809812847749112</v>
      </c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  <c r="AM23" s="41"/>
      <c r="AN23" s="41"/>
      <c r="AO23" s="41"/>
      <c r="AP23" s="41"/>
      <c r="AQ23" s="41"/>
      <c r="AR23" s="41"/>
      <c r="AS23" s="41"/>
      <c r="AT23" s="41"/>
      <c r="AU23" s="41"/>
      <c r="AV23" s="41"/>
      <c r="AW23" s="41"/>
      <c r="AX23" s="41"/>
      <c r="AY23" s="41"/>
      <c r="AZ23" s="41"/>
      <c r="BA23" s="41"/>
      <c r="BB23" s="41"/>
      <c r="BC23" s="41"/>
      <c r="BD23" s="41"/>
      <c r="BE23" s="41"/>
      <c r="BF23" s="41"/>
      <c r="GR23" s="7"/>
      <c r="GS23" s="7"/>
      <c r="GT23" s="7"/>
      <c r="GU23" s="7"/>
      <c r="GV23" s="7"/>
      <c r="GW23" s="7"/>
      <c r="GX23" s="7"/>
      <c r="GY23" s="7"/>
      <c r="GZ23" s="7"/>
      <c r="HA23" s="7"/>
      <c r="HB23" s="7"/>
      <c r="HC23" s="7"/>
      <c r="HD23" s="7"/>
      <c r="HE23" s="7"/>
      <c r="HF23" s="7"/>
      <c r="HG23" s="7"/>
      <c r="HH23" s="7"/>
      <c r="HI23" s="7"/>
      <c r="HJ23" s="8"/>
      <c r="HK23" s="8"/>
      <c r="HL23" s="8"/>
      <c r="HM23" s="8"/>
      <c r="HN23" s="8"/>
      <c r="HO23" s="8"/>
      <c r="HP23" s="8"/>
      <c r="HQ23" s="8"/>
      <c r="HR23" s="8"/>
      <c r="HS23" s="8"/>
      <c r="HT23" s="8"/>
      <c r="HU23" s="8"/>
      <c r="HV23" s="8"/>
      <c r="HW23" s="8"/>
      <c r="HX23" s="8"/>
      <c r="HY23" s="8"/>
      <c r="HZ23" s="8"/>
      <c r="IA23" s="8"/>
      <c r="IB23" s="8"/>
      <c r="IC23" s="8"/>
      <c r="ID23" s="8"/>
      <c r="IE23" s="8"/>
      <c r="IF23" s="8"/>
      <c r="IG23" s="8"/>
      <c r="IH23" s="8"/>
      <c r="II23" s="8"/>
      <c r="IK23" s="148">
        <v>4</v>
      </c>
    </row>
    <row r="24" spans="1:378" s="41" customFormat="1" ht="18.75" x14ac:dyDescent="0.2">
      <c r="A24" s="78" t="s">
        <v>2</v>
      </c>
      <c r="B24" s="79">
        <f>SUM(C24:ZZ24)</f>
        <v>1977000</v>
      </c>
      <c r="C24" s="45">
        <v>36000</v>
      </c>
      <c r="D24" s="45">
        <v>36000</v>
      </c>
      <c r="E24" s="80">
        <v>36000</v>
      </c>
      <c r="F24" s="45">
        <v>36000</v>
      </c>
      <c r="G24" s="45">
        <v>36000</v>
      </c>
      <c r="H24" s="45">
        <v>36000</v>
      </c>
      <c r="I24" s="45">
        <v>36000</v>
      </c>
      <c r="J24" s="45">
        <v>36000</v>
      </c>
      <c r="K24" s="45">
        <v>36000</v>
      </c>
      <c r="L24" s="45">
        <v>36000</v>
      </c>
      <c r="M24" s="45">
        <v>36000</v>
      </c>
      <c r="N24" s="45">
        <v>36000</v>
      </c>
      <c r="O24" s="45">
        <v>36000</v>
      </c>
      <c r="P24" s="45">
        <v>32000</v>
      </c>
      <c r="Q24" s="45">
        <v>32000</v>
      </c>
      <c r="R24" s="45">
        <v>32000</v>
      </c>
      <c r="S24" s="45">
        <v>32000</v>
      </c>
      <c r="T24" s="81">
        <v>32000</v>
      </c>
      <c r="U24" s="80">
        <v>32000</v>
      </c>
      <c r="V24" s="45">
        <v>32000</v>
      </c>
      <c r="W24" s="45">
        <v>32000</v>
      </c>
      <c r="X24" s="45">
        <v>28000</v>
      </c>
      <c r="Y24" s="45">
        <v>25000</v>
      </c>
      <c r="Z24" s="45">
        <v>25000</v>
      </c>
      <c r="AA24" s="45">
        <v>25000</v>
      </c>
      <c r="AB24" s="45">
        <v>25000</v>
      </c>
      <c r="AC24" s="45">
        <v>25000</v>
      </c>
      <c r="AD24" s="45">
        <v>25000</v>
      </c>
      <c r="AE24" s="45">
        <v>25000</v>
      </c>
      <c r="AF24" s="45">
        <v>25000</v>
      </c>
      <c r="AG24" s="45">
        <v>25000</v>
      </c>
      <c r="AH24" s="45">
        <v>25000</v>
      </c>
      <c r="AI24" s="45">
        <v>25000</v>
      </c>
      <c r="AJ24" s="81">
        <v>25000</v>
      </c>
      <c r="AQ24" s="80">
        <v>25000</v>
      </c>
      <c r="AR24" s="45">
        <v>25000</v>
      </c>
      <c r="AS24" s="45">
        <v>25000</v>
      </c>
      <c r="AT24" s="45">
        <v>25000</v>
      </c>
      <c r="AU24" s="45">
        <v>25000</v>
      </c>
      <c r="AV24" s="45">
        <v>25000</v>
      </c>
      <c r="AW24" s="45">
        <v>25000</v>
      </c>
      <c r="AX24" s="45">
        <v>25000</v>
      </c>
      <c r="AY24" s="45">
        <v>25000</v>
      </c>
      <c r="AZ24" s="45">
        <v>25000</v>
      </c>
      <c r="BA24" s="45">
        <v>25000</v>
      </c>
      <c r="BB24" s="45">
        <v>25000</v>
      </c>
      <c r="BC24" s="45">
        <v>25000</v>
      </c>
      <c r="BD24" s="45">
        <v>25000</v>
      </c>
      <c r="BE24" s="45">
        <v>25000</v>
      </c>
      <c r="BF24" s="81">
        <v>25000</v>
      </c>
      <c r="BY24" s="80">
        <v>25000</v>
      </c>
      <c r="BZ24" s="45">
        <v>25000</v>
      </c>
      <c r="CA24" s="45">
        <v>25000</v>
      </c>
      <c r="CB24" s="45">
        <v>18000</v>
      </c>
      <c r="CC24" s="45">
        <v>18000</v>
      </c>
      <c r="CD24" s="45">
        <v>18000</v>
      </c>
      <c r="CE24" s="45">
        <v>18000</v>
      </c>
      <c r="CF24" s="45">
        <v>18000</v>
      </c>
      <c r="CG24" s="45">
        <v>18000</v>
      </c>
      <c r="CH24" s="45">
        <v>18000</v>
      </c>
      <c r="CI24" s="45">
        <v>18000</v>
      </c>
      <c r="CJ24" s="45">
        <v>18000</v>
      </c>
      <c r="CK24" s="45"/>
      <c r="CL24" s="45">
        <v>18000</v>
      </c>
      <c r="CM24" s="81">
        <v>18000</v>
      </c>
      <c r="CR24" s="80"/>
      <c r="CS24" s="45">
        <v>18000</v>
      </c>
      <c r="CT24" s="45">
        <v>18000</v>
      </c>
      <c r="CU24" s="45">
        <v>18000</v>
      </c>
      <c r="CV24" s="45">
        <v>18000</v>
      </c>
      <c r="CW24" s="45">
        <v>18000</v>
      </c>
      <c r="CX24" s="45">
        <v>18000</v>
      </c>
      <c r="CY24" s="45"/>
      <c r="CZ24" s="45">
        <v>18000</v>
      </c>
      <c r="DA24" s="45">
        <v>18000</v>
      </c>
      <c r="DB24" s="45">
        <v>18000</v>
      </c>
      <c r="DC24" s="45">
        <v>18000</v>
      </c>
      <c r="DD24" s="45">
        <v>18000</v>
      </c>
      <c r="DE24" s="45">
        <v>18000</v>
      </c>
      <c r="DF24" s="45">
        <v>18000</v>
      </c>
      <c r="DG24" s="81">
        <v>18000</v>
      </c>
      <c r="GR24" s="49"/>
      <c r="GS24" s="49"/>
      <c r="GT24" s="49"/>
      <c r="GU24" s="49"/>
      <c r="GV24" s="49"/>
      <c r="GW24" s="49"/>
      <c r="GX24" s="49"/>
      <c r="GY24" s="49"/>
      <c r="GZ24" s="49"/>
      <c r="HA24" s="49"/>
      <c r="HB24" s="49"/>
      <c r="HC24" s="49"/>
      <c r="HD24" s="49"/>
      <c r="HE24" s="49"/>
      <c r="HF24" s="49"/>
      <c r="HG24" s="49"/>
      <c r="HH24" s="49"/>
      <c r="HI24" s="49"/>
      <c r="HJ24" s="50"/>
      <c r="HK24" s="50"/>
      <c r="HL24" s="50"/>
      <c r="HM24" s="50"/>
      <c r="HN24" s="50"/>
      <c r="HO24" s="50"/>
      <c r="HP24" s="50"/>
      <c r="HQ24" s="50"/>
      <c r="HR24" s="50"/>
      <c r="HS24" s="50"/>
      <c r="HT24" s="50"/>
      <c r="HU24" s="50"/>
      <c r="HV24" s="50"/>
      <c r="HW24" s="50"/>
      <c r="HX24" s="50"/>
      <c r="HY24" s="50"/>
      <c r="HZ24" s="50"/>
      <c r="IA24" s="50"/>
      <c r="IB24" s="50"/>
      <c r="IC24" s="50"/>
      <c r="ID24" s="50"/>
      <c r="IE24" s="50"/>
      <c r="IF24" s="50"/>
      <c r="IG24" s="50"/>
      <c r="IH24" s="50"/>
      <c r="II24" s="50"/>
      <c r="IK24" s="147"/>
    </row>
    <row r="25" spans="1:378" s="41" customFormat="1" ht="18.75" x14ac:dyDescent="0.2">
      <c r="A25" s="78" t="s">
        <v>4</v>
      </c>
      <c r="B25" s="79">
        <f>SUM(C25:ZZ25)</f>
        <v>846350</v>
      </c>
      <c r="C25" s="58">
        <f>17700+131000</f>
        <v>148700</v>
      </c>
      <c r="D25" s="58"/>
      <c r="E25" s="83">
        <v>5250</v>
      </c>
      <c r="F25" s="58">
        <v>13200</v>
      </c>
      <c r="G25" s="58"/>
      <c r="H25" s="58">
        <v>2700</v>
      </c>
      <c r="I25" s="58">
        <v>900</v>
      </c>
      <c r="J25" s="58">
        <v>3600</v>
      </c>
      <c r="K25" s="58">
        <v>3300</v>
      </c>
      <c r="L25" s="58"/>
      <c r="M25" s="58">
        <v>3600</v>
      </c>
      <c r="N25" s="58">
        <v>22650</v>
      </c>
      <c r="O25" s="58">
        <v>6150</v>
      </c>
      <c r="P25" s="58">
        <v>5250</v>
      </c>
      <c r="Q25" s="58">
        <v>2700</v>
      </c>
      <c r="R25" s="58">
        <v>28650</v>
      </c>
      <c r="S25" s="58">
        <f>114000+16500</f>
        <v>130500</v>
      </c>
      <c r="T25" s="84"/>
      <c r="U25" s="83">
        <v>2700</v>
      </c>
      <c r="V25" s="58">
        <v>1800</v>
      </c>
      <c r="W25" s="58">
        <v>5250</v>
      </c>
      <c r="X25" s="58">
        <v>2400</v>
      </c>
      <c r="Y25" s="58">
        <v>10800</v>
      </c>
      <c r="Z25" s="58">
        <v>10650</v>
      </c>
      <c r="AA25" s="58">
        <v>9450</v>
      </c>
      <c r="AB25" s="58">
        <v>9900</v>
      </c>
      <c r="AC25" s="58">
        <v>25200</v>
      </c>
      <c r="AD25" s="58">
        <v>25200</v>
      </c>
      <c r="AE25" s="58">
        <v>4050</v>
      </c>
      <c r="AF25" s="58">
        <v>6450</v>
      </c>
      <c r="AG25" s="58">
        <v>13050</v>
      </c>
      <c r="AH25" s="58"/>
      <c r="AI25" s="58"/>
      <c r="AJ25" s="84"/>
      <c r="AQ25" s="83">
        <v>3000</v>
      </c>
      <c r="AR25" s="58">
        <v>1800</v>
      </c>
      <c r="AS25" s="58">
        <v>4650</v>
      </c>
      <c r="AT25" s="58">
        <v>3750</v>
      </c>
      <c r="AU25" s="58">
        <v>12150</v>
      </c>
      <c r="AV25" s="58"/>
      <c r="AW25" s="58">
        <v>4500</v>
      </c>
      <c r="AX25" s="58"/>
      <c r="AY25" s="58">
        <v>7050</v>
      </c>
      <c r="AZ25" s="58"/>
      <c r="BA25" s="58">
        <v>21600</v>
      </c>
      <c r="BB25" s="58">
        <v>6600</v>
      </c>
      <c r="BC25" s="58">
        <v>4200</v>
      </c>
      <c r="BD25" s="58"/>
      <c r="BE25" s="58"/>
      <c r="BF25" s="84"/>
      <c r="BY25" s="83">
        <v>900</v>
      </c>
      <c r="BZ25" s="58">
        <v>2400</v>
      </c>
      <c r="CA25" s="58">
        <v>4500</v>
      </c>
      <c r="CB25" s="58">
        <v>28650</v>
      </c>
      <c r="CC25" s="58">
        <v>3300</v>
      </c>
      <c r="CD25" s="58">
        <v>9600</v>
      </c>
      <c r="CE25" s="58">
        <v>12300</v>
      </c>
      <c r="CF25" s="58">
        <v>24900</v>
      </c>
      <c r="CG25" s="58">
        <v>5850</v>
      </c>
      <c r="CH25" s="58">
        <v>11250</v>
      </c>
      <c r="CI25" s="58">
        <v>34050</v>
      </c>
      <c r="CJ25" s="58">
        <v>12450</v>
      </c>
      <c r="CK25" s="58"/>
      <c r="CL25" s="58">
        <v>24450</v>
      </c>
      <c r="CM25" s="84"/>
      <c r="CR25" s="83">
        <v>11550</v>
      </c>
      <c r="CS25" s="58">
        <v>8400</v>
      </c>
      <c r="CT25" s="58"/>
      <c r="CU25" s="58"/>
      <c r="CV25" s="58">
        <v>4500</v>
      </c>
      <c r="CW25" s="58">
        <v>28200</v>
      </c>
      <c r="CX25" s="58"/>
      <c r="CY25" s="58"/>
      <c r="CZ25" s="58">
        <v>1800</v>
      </c>
      <c r="DA25" s="58">
        <v>5250</v>
      </c>
      <c r="DB25" s="58">
        <v>2550</v>
      </c>
      <c r="DC25" s="58">
        <v>13500</v>
      </c>
      <c r="DD25" s="58">
        <v>22650</v>
      </c>
      <c r="DE25" s="58"/>
      <c r="DF25" s="58"/>
      <c r="DG25" s="84"/>
      <c r="GR25" s="49"/>
      <c r="GS25" s="49"/>
      <c r="GT25" s="49"/>
      <c r="GU25" s="49"/>
      <c r="GV25" s="49"/>
      <c r="GW25" s="49"/>
      <c r="GX25" s="49"/>
      <c r="GY25" s="49"/>
      <c r="GZ25" s="49"/>
      <c r="HA25" s="49"/>
      <c r="HB25" s="49"/>
      <c r="HC25" s="49"/>
      <c r="HD25" s="49"/>
      <c r="HE25" s="49"/>
      <c r="HF25" s="49"/>
      <c r="HG25" s="49"/>
      <c r="HH25" s="49"/>
      <c r="HI25" s="49"/>
      <c r="HJ25" s="50"/>
      <c r="HK25" s="50"/>
      <c r="HL25" s="50"/>
      <c r="HM25" s="50"/>
      <c r="HN25" s="50"/>
      <c r="HO25" s="50"/>
      <c r="HP25" s="50"/>
      <c r="HQ25" s="50"/>
      <c r="HR25" s="50"/>
      <c r="HS25" s="50"/>
      <c r="HT25" s="50"/>
      <c r="HU25" s="50"/>
      <c r="HV25" s="50"/>
      <c r="HW25" s="50"/>
      <c r="HX25" s="50"/>
      <c r="HY25" s="50"/>
      <c r="HZ25" s="50"/>
      <c r="IA25" s="50"/>
      <c r="IB25" s="50"/>
      <c r="IC25" s="50"/>
      <c r="ID25" s="50"/>
      <c r="IE25" s="50"/>
      <c r="IF25" s="50"/>
      <c r="IG25" s="50"/>
      <c r="IH25" s="50"/>
      <c r="II25" s="50"/>
      <c r="IK25" s="147" t="s">
        <v>11</v>
      </c>
    </row>
    <row r="26" spans="1:378" s="41" customFormat="1" ht="18.75" x14ac:dyDescent="0.2">
      <c r="A26" s="78" t="s">
        <v>6</v>
      </c>
      <c r="B26" s="86">
        <f>B25-B24</f>
        <v>-1130650</v>
      </c>
      <c r="C26" s="66" t="s">
        <v>30</v>
      </c>
      <c r="D26"/>
      <c r="S26" s="66" t="s">
        <v>31</v>
      </c>
      <c r="T26" s="67">
        <f>SUM(E25:T25)-SUM(E24:T24)</f>
        <v>-327550</v>
      </c>
      <c r="AG26" s="66" t="s">
        <v>32</v>
      </c>
      <c r="AH26" s="67">
        <f>SUM(U25:AJ25)-SUM(U24:AJ24)</f>
        <v>-297100</v>
      </c>
      <c r="BE26" s="85" t="s">
        <v>33</v>
      </c>
      <c r="BF26" s="87">
        <f>SUM(AQ25:BF25)-SUM(AQ24:BF24)</f>
        <v>-330700</v>
      </c>
      <c r="CL26" s="85" t="s">
        <v>34</v>
      </c>
      <c r="CM26" s="87">
        <f>SUM(BY25:CM25)-SUM(BY24:CM24)</f>
        <v>-98400</v>
      </c>
      <c r="DF26" s="85" t="s">
        <v>35</v>
      </c>
      <c r="DG26" s="87">
        <f>SUM(CR25:DG25)-SUM(CR24:DG24)</f>
        <v>-153600</v>
      </c>
      <c r="GR26" s="49"/>
      <c r="GS26" s="49"/>
      <c r="GT26" s="49"/>
      <c r="GU26" s="49"/>
      <c r="GV26" s="49"/>
      <c r="GW26" s="49"/>
      <c r="GX26" s="49"/>
      <c r="GY26" s="49"/>
      <c r="GZ26" s="49"/>
      <c r="HA26" s="49"/>
      <c r="HB26" s="49"/>
      <c r="HC26" s="49"/>
      <c r="HD26" s="49"/>
      <c r="HE26" s="49"/>
      <c r="HF26" s="49"/>
      <c r="HG26" s="49"/>
      <c r="HH26" s="49"/>
      <c r="HI26" s="49"/>
      <c r="HJ26" s="50"/>
      <c r="HK26" s="50"/>
      <c r="HL26" s="50"/>
      <c r="HM26" s="50"/>
      <c r="HN26" s="50"/>
      <c r="HO26" s="50"/>
      <c r="HP26" s="50"/>
      <c r="HQ26" s="50"/>
      <c r="HR26" s="50"/>
      <c r="HS26" s="50"/>
      <c r="HT26" s="50"/>
      <c r="HU26" s="50"/>
      <c r="HV26" s="50"/>
      <c r="HW26" s="50"/>
      <c r="HX26" s="50"/>
      <c r="HY26" s="50"/>
      <c r="HZ26" s="50"/>
      <c r="IA26" s="50"/>
      <c r="IB26" s="50"/>
      <c r="IC26" s="50"/>
      <c r="ID26" s="50"/>
      <c r="IE26" s="50"/>
      <c r="IF26" s="50"/>
      <c r="IG26" s="50"/>
      <c r="IH26" s="50"/>
      <c r="II26" s="50"/>
      <c r="IK26" s="147"/>
    </row>
    <row r="27" spans="1:378" ht="18.75" x14ac:dyDescent="0.2">
      <c r="A27" s="88"/>
      <c r="C27" s="12"/>
      <c r="D27" s="70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70">
        <f>SUM(E25:T25)/SUM(E24:T24)</f>
        <v>0.41088129496402875</v>
      </c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70">
        <f>SUM(U25:AJ25)/SUM(U24:AJ24)</f>
        <v>0.29929245283018868</v>
      </c>
      <c r="AI27" s="12"/>
      <c r="AJ27" s="12"/>
      <c r="AK27" s="12"/>
      <c r="AL27" s="12"/>
      <c r="AM27" s="12"/>
      <c r="AN27" s="12"/>
      <c r="AO27" s="41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70">
        <f>SUM(AQ25:BF25)/SUM(AQ24:BF24)</f>
        <v>0.17324999999999999</v>
      </c>
      <c r="CL27" s="12"/>
      <c r="CM27" s="70">
        <f>SUM(BY25:CM25)/SUM(BY24:CM24)</f>
        <v>0.63956043956043951</v>
      </c>
      <c r="DF27" s="12"/>
      <c r="DG27" s="70">
        <f>SUM(CR25:DG25)/SUM(CR24:DG24)</f>
        <v>0.39047619047619048</v>
      </c>
      <c r="GR27" s="7"/>
      <c r="GS27" s="7"/>
      <c r="GT27" s="7"/>
      <c r="GU27" s="7"/>
      <c r="GV27" s="7"/>
      <c r="GW27" s="7"/>
      <c r="GX27" s="7"/>
      <c r="GY27" s="7"/>
      <c r="GZ27" s="7"/>
      <c r="HA27" s="7"/>
      <c r="HB27" s="7"/>
      <c r="HC27" s="7"/>
      <c r="HD27" s="7"/>
      <c r="HE27" s="7"/>
      <c r="HF27" s="7"/>
      <c r="HG27" s="7"/>
      <c r="HH27" s="7"/>
      <c r="HI27" s="7"/>
      <c r="HJ27" s="8"/>
      <c r="HK27" s="8"/>
      <c r="HL27" s="8"/>
      <c r="HM27" s="8"/>
      <c r="HN27" s="8"/>
      <c r="HO27" s="8"/>
      <c r="HP27" s="8"/>
      <c r="HQ27" s="8"/>
      <c r="HR27" s="8"/>
      <c r="HS27" s="8"/>
      <c r="HT27" s="8"/>
      <c r="HU27" s="8"/>
      <c r="HV27" s="8"/>
      <c r="HW27" s="8"/>
      <c r="HX27" s="8"/>
      <c r="HY27" s="8"/>
      <c r="HZ27" s="8"/>
      <c r="IA27" s="8"/>
      <c r="IB27" s="8"/>
      <c r="IC27" s="8"/>
      <c r="ID27" s="8"/>
      <c r="IE27" s="8"/>
      <c r="IF27" s="8"/>
      <c r="IG27" s="8"/>
      <c r="IH27" s="8"/>
      <c r="II27" s="8"/>
      <c r="IK27" s="148" t="s">
        <v>82</v>
      </c>
    </row>
    <row r="28" spans="1:378" ht="18.75" x14ac:dyDescent="0.25">
      <c r="A28" s="9" t="s">
        <v>37</v>
      </c>
      <c r="B28" s="10">
        <f>B30/B29</f>
        <v>1.3376367974020951</v>
      </c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41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GR28" s="7"/>
      <c r="GS28" s="7"/>
      <c r="GT28" s="7"/>
      <c r="GU28" s="7"/>
      <c r="GV28" s="7"/>
      <c r="GW28" s="7"/>
      <c r="GX28" s="7"/>
      <c r="GY28" s="7"/>
      <c r="GZ28" s="7"/>
      <c r="HA28" s="7"/>
      <c r="HB28" s="7"/>
      <c r="HC28" s="7"/>
      <c r="HD28" s="7"/>
      <c r="HE28" s="7"/>
      <c r="HF28" s="7"/>
      <c r="HG28" s="7"/>
      <c r="HH28" s="7"/>
      <c r="HI28" s="7"/>
      <c r="HJ28" s="8"/>
      <c r="HK28" s="8"/>
      <c r="HL28" s="8"/>
      <c r="HM28" s="8"/>
      <c r="HN28" s="8"/>
      <c r="HO28" s="8"/>
      <c r="HP28" s="8"/>
      <c r="HQ28" s="8"/>
      <c r="HR28" s="8"/>
      <c r="HS28" s="8"/>
      <c r="HT28" s="8"/>
      <c r="HU28" s="8"/>
      <c r="HV28" s="8"/>
      <c r="HW28" s="8"/>
      <c r="HX28" s="8"/>
      <c r="HY28" s="8"/>
      <c r="HZ28" s="8"/>
      <c r="IA28" s="8"/>
      <c r="IB28" s="8"/>
      <c r="IC28" s="8"/>
      <c r="ID28" s="8"/>
      <c r="IE28" s="8"/>
      <c r="IF28" s="8"/>
      <c r="IG28" s="8"/>
      <c r="IH28" s="8"/>
      <c r="II28" s="8"/>
      <c r="IK28" s="148" t="s">
        <v>11</v>
      </c>
    </row>
    <row r="29" spans="1:378" s="12" customFormat="1" ht="18.75" x14ac:dyDescent="0.2">
      <c r="A29" s="12" t="s">
        <v>2</v>
      </c>
      <c r="B29" s="13">
        <f>SUM(C29:ZZ29)</f>
        <v>17059900</v>
      </c>
      <c r="S29" s="44">
        <v>59000</v>
      </c>
      <c r="T29" s="42">
        <v>132000</v>
      </c>
      <c r="U29" s="42">
        <v>109000</v>
      </c>
      <c r="V29" s="42">
        <v>109000</v>
      </c>
      <c r="W29" s="42">
        <v>82000</v>
      </c>
      <c r="X29" s="42">
        <v>57000</v>
      </c>
      <c r="Y29" s="42">
        <v>57000</v>
      </c>
      <c r="Z29" s="42">
        <v>57000</v>
      </c>
      <c r="AA29" s="42">
        <v>126000</v>
      </c>
      <c r="AB29" s="42">
        <v>126000</v>
      </c>
      <c r="AC29" s="42">
        <v>126000</v>
      </c>
      <c r="AD29" s="42">
        <v>126000</v>
      </c>
      <c r="AE29" s="42">
        <v>126000</v>
      </c>
      <c r="AF29" s="42">
        <v>126000</v>
      </c>
      <c r="AG29" s="42">
        <v>62000</v>
      </c>
      <c r="AH29" s="43">
        <v>62000</v>
      </c>
      <c r="AI29" s="44">
        <v>62000</v>
      </c>
      <c r="AJ29" s="42">
        <v>62000</v>
      </c>
      <c r="AK29" s="42">
        <v>62000</v>
      </c>
      <c r="AL29" s="42">
        <v>62000</v>
      </c>
      <c r="AM29" s="42">
        <v>62000</v>
      </c>
      <c r="AN29" s="42">
        <v>62000</v>
      </c>
      <c r="AO29" s="45">
        <v>62000</v>
      </c>
      <c r="AP29" s="42">
        <v>62000</v>
      </c>
      <c r="AQ29" s="42">
        <v>62000</v>
      </c>
      <c r="AR29" s="42">
        <v>42000</v>
      </c>
      <c r="AS29" s="42">
        <v>42000</v>
      </c>
      <c r="AT29" s="42">
        <v>42000</v>
      </c>
      <c r="AU29" s="42">
        <v>42000</v>
      </c>
      <c r="AV29" s="42">
        <v>42000</v>
      </c>
      <c r="AW29" s="42">
        <v>42000</v>
      </c>
      <c r="AX29" s="42">
        <v>42000</v>
      </c>
      <c r="AY29" s="42">
        <v>42000</v>
      </c>
      <c r="AZ29" s="43">
        <v>42000</v>
      </c>
      <c r="BX29" s="44">
        <v>42000</v>
      </c>
      <c r="BY29" s="42">
        <v>42000</v>
      </c>
      <c r="BZ29" s="42">
        <v>42000</v>
      </c>
      <c r="CA29" s="42">
        <v>42000</v>
      </c>
      <c r="CB29" s="42"/>
      <c r="CC29" s="42"/>
      <c r="CD29" s="42"/>
      <c r="CE29" s="42"/>
      <c r="CF29" s="42"/>
      <c r="CG29" s="42"/>
      <c r="CH29" s="42"/>
      <c r="CI29" s="42">
        <v>18000</v>
      </c>
      <c r="CJ29" s="42">
        <v>18000</v>
      </c>
      <c r="CK29" s="42">
        <v>18000</v>
      </c>
      <c r="CL29" s="42"/>
      <c r="CM29" s="42"/>
      <c r="CN29" s="42">
        <v>18000</v>
      </c>
      <c r="CO29" s="43">
        <v>18000</v>
      </c>
      <c r="DP29" s="44">
        <v>18000</v>
      </c>
      <c r="DQ29" s="42">
        <v>201000</v>
      </c>
      <c r="DR29" s="42">
        <v>201000</v>
      </c>
      <c r="DS29" s="42">
        <v>201000</v>
      </c>
      <c r="DT29" s="42">
        <v>90000</v>
      </c>
      <c r="DU29" s="42">
        <v>90000</v>
      </c>
      <c r="DV29" s="42">
        <f>90000</f>
        <v>90000</v>
      </c>
      <c r="DW29" s="42">
        <v>90000</v>
      </c>
      <c r="DX29" s="42">
        <v>155000</v>
      </c>
      <c r="DY29" s="42">
        <v>155000</v>
      </c>
      <c r="DZ29" s="42">
        <v>115000</v>
      </c>
      <c r="EA29" s="42">
        <v>93000</v>
      </c>
      <c r="EB29" s="42">
        <v>106000</v>
      </c>
      <c r="EC29" s="42">
        <v>98000</v>
      </c>
      <c r="ED29" s="42">
        <v>98000</v>
      </c>
      <c r="EE29" s="42">
        <v>98000</v>
      </c>
      <c r="EF29" s="43">
        <v>98000</v>
      </c>
      <c r="EH29" s="44"/>
      <c r="EI29" s="42">
        <v>98000</v>
      </c>
      <c r="EJ29" s="42">
        <v>146000</v>
      </c>
      <c r="EK29" s="42">
        <v>111000</v>
      </c>
      <c r="EL29" s="42">
        <v>156000</v>
      </c>
      <c r="EM29" s="42">
        <v>96000</v>
      </c>
      <c r="EN29" s="42">
        <v>96000</v>
      </c>
      <c r="EO29" s="42">
        <v>176000</v>
      </c>
      <c r="EP29" s="42">
        <v>176000</v>
      </c>
      <c r="EQ29" s="42">
        <v>152000</v>
      </c>
      <c r="ER29" s="42">
        <v>70000</v>
      </c>
      <c r="ES29" s="42">
        <v>70000</v>
      </c>
      <c r="ET29" s="42">
        <v>70000</v>
      </c>
      <c r="EU29" s="42">
        <v>70000</v>
      </c>
      <c r="EV29" s="42">
        <v>70000</v>
      </c>
      <c r="EW29" s="43">
        <v>70000</v>
      </c>
      <c r="EZ29" s="44">
        <v>70000</v>
      </c>
      <c r="FA29" s="42">
        <v>79000</v>
      </c>
      <c r="FB29" s="42">
        <v>79000</v>
      </c>
      <c r="FC29" s="42">
        <v>79000</v>
      </c>
      <c r="FD29" s="42">
        <v>165000</v>
      </c>
      <c r="FE29" s="42">
        <v>165000</v>
      </c>
      <c r="FF29" s="42">
        <v>165000</v>
      </c>
      <c r="FG29" s="42">
        <v>152000</v>
      </c>
      <c r="FH29" s="42">
        <v>152000</v>
      </c>
      <c r="FI29" s="42">
        <v>152000</v>
      </c>
      <c r="FJ29" s="42">
        <v>152000</v>
      </c>
      <c r="FK29" s="42">
        <v>121000</v>
      </c>
      <c r="FL29" s="42">
        <v>111000</v>
      </c>
      <c r="FM29" s="42">
        <v>102000</v>
      </c>
      <c r="FN29" s="42">
        <v>93000</v>
      </c>
      <c r="FO29" s="43">
        <v>93000</v>
      </c>
      <c r="FR29" s="44">
        <v>93000</v>
      </c>
      <c r="FS29" s="42">
        <v>93000</v>
      </c>
      <c r="FT29" s="42">
        <v>93000</v>
      </c>
      <c r="FU29" s="42">
        <v>93000</v>
      </c>
      <c r="FV29" s="42">
        <v>93000</v>
      </c>
      <c r="FW29" s="42">
        <v>127000</v>
      </c>
      <c r="FX29" s="42">
        <v>239000</v>
      </c>
      <c r="FY29" s="42">
        <v>239000</v>
      </c>
      <c r="FZ29" s="42">
        <v>137000</v>
      </c>
      <c r="GA29" s="42">
        <v>137000</v>
      </c>
      <c r="GB29" s="42">
        <v>137000</v>
      </c>
      <c r="GC29" s="42">
        <v>137000</v>
      </c>
      <c r="GD29" s="42">
        <v>137000</v>
      </c>
      <c r="GE29" s="42">
        <v>70000</v>
      </c>
      <c r="GF29" s="42">
        <v>70000</v>
      </c>
      <c r="GG29" s="43">
        <v>70000</v>
      </c>
      <c r="GJ29" s="44">
        <v>70000</v>
      </c>
      <c r="GK29" s="42">
        <v>182000</v>
      </c>
      <c r="GL29" s="42">
        <v>182000</v>
      </c>
      <c r="GM29" s="42">
        <v>114000</v>
      </c>
      <c r="GN29" s="42">
        <v>114000</v>
      </c>
      <c r="GO29" s="42">
        <v>114000</v>
      </c>
      <c r="GP29" s="42">
        <v>100000</v>
      </c>
      <c r="GQ29" s="42">
        <v>233000</v>
      </c>
      <c r="GR29" s="142">
        <v>410000</v>
      </c>
      <c r="GS29" s="142">
        <v>384000</v>
      </c>
      <c r="GT29" s="142">
        <v>384000</v>
      </c>
      <c r="GU29" s="142">
        <v>66000</v>
      </c>
      <c r="GV29" s="142">
        <v>49000</v>
      </c>
      <c r="GW29" s="142">
        <v>71000</v>
      </c>
      <c r="GX29" s="142">
        <v>71000</v>
      </c>
      <c r="GY29" s="134">
        <v>71000</v>
      </c>
      <c r="GZ29" s="49"/>
      <c r="HA29" s="49"/>
      <c r="HB29" s="49"/>
      <c r="HC29" s="46">
        <v>71000</v>
      </c>
      <c r="HD29" s="47">
        <v>71000</v>
      </c>
      <c r="HE29" s="47">
        <v>71000</v>
      </c>
      <c r="HF29" s="47">
        <v>104000</v>
      </c>
      <c r="HG29" s="47">
        <v>104000</v>
      </c>
      <c r="HH29" s="47">
        <v>111000</v>
      </c>
      <c r="HI29" s="47">
        <v>111000</v>
      </c>
      <c r="HJ29" s="89">
        <v>111000</v>
      </c>
      <c r="HK29" s="89">
        <v>111000</v>
      </c>
      <c r="HL29" s="89">
        <v>243000</v>
      </c>
      <c r="HM29" s="89">
        <v>106000</v>
      </c>
      <c r="HN29" s="89">
        <v>106000</v>
      </c>
      <c r="HO29" s="89">
        <v>106000</v>
      </c>
      <c r="HP29" s="89">
        <v>202000</v>
      </c>
      <c r="HQ29" s="89">
        <v>202000</v>
      </c>
      <c r="HR29" s="90">
        <v>202000</v>
      </c>
      <c r="HS29" s="50"/>
      <c r="HT29" s="51">
        <v>202000</v>
      </c>
      <c r="HU29" s="52">
        <v>157900</v>
      </c>
      <c r="HV29" s="52">
        <v>209000</v>
      </c>
      <c r="HW29" s="52">
        <v>162000</v>
      </c>
      <c r="HX29" s="52">
        <v>162000</v>
      </c>
      <c r="HY29" s="52">
        <v>115000</v>
      </c>
      <c r="HZ29" s="52">
        <v>115000</v>
      </c>
      <c r="IA29" s="52">
        <v>115000</v>
      </c>
      <c r="IB29" s="52">
        <v>115000</v>
      </c>
      <c r="IC29" s="52">
        <v>115000</v>
      </c>
      <c r="ID29" s="52">
        <v>115000</v>
      </c>
      <c r="IE29" s="52">
        <v>115000</v>
      </c>
      <c r="IF29" s="52">
        <v>115000</v>
      </c>
      <c r="IG29" s="52">
        <v>115000</v>
      </c>
      <c r="IH29" s="52">
        <v>115000</v>
      </c>
      <c r="II29" s="53">
        <v>115000</v>
      </c>
      <c r="IK29" s="147"/>
    </row>
    <row r="30" spans="1:378" s="12" customFormat="1" ht="19.5" thickBot="1" x14ac:dyDescent="0.3">
      <c r="A30" s="12" t="s">
        <v>4</v>
      </c>
      <c r="B30" s="13">
        <f>SUM(C30:ZZ30)</f>
        <v>22819950</v>
      </c>
      <c r="S30" s="56"/>
      <c r="T30" s="54"/>
      <c r="U30" s="54"/>
      <c r="V30" s="54"/>
      <c r="W30" s="54">
        <v>116700</v>
      </c>
      <c r="X30" s="54">
        <v>118050</v>
      </c>
      <c r="Y30" s="54">
        <v>173100</v>
      </c>
      <c r="Z30" s="54">
        <v>156150</v>
      </c>
      <c r="AA30" s="54"/>
      <c r="AB30" s="54">
        <v>57000</v>
      </c>
      <c r="AC30" s="54">
        <v>9450</v>
      </c>
      <c r="AD30" s="54">
        <v>70500</v>
      </c>
      <c r="AE30" s="54"/>
      <c r="AF30" s="54"/>
      <c r="AG30" s="54">
        <f>297000+139200</f>
        <v>436200</v>
      </c>
      <c r="AH30" s="57"/>
      <c r="AI30" s="56"/>
      <c r="AJ30" s="54"/>
      <c r="AK30" s="54"/>
      <c r="AL30" s="54"/>
      <c r="AM30" s="54"/>
      <c r="AN30" s="54"/>
      <c r="AO30" s="58"/>
      <c r="AP30" s="54">
        <v>268650</v>
      </c>
      <c r="AQ30" s="54">
        <v>157800</v>
      </c>
      <c r="AR30" s="54">
        <v>196500</v>
      </c>
      <c r="AS30" s="54">
        <v>65700</v>
      </c>
      <c r="AT30" s="54"/>
      <c r="AU30" s="54">
        <v>13950</v>
      </c>
      <c r="AV30" s="54">
        <v>4050</v>
      </c>
      <c r="AW30" s="54">
        <v>12750</v>
      </c>
      <c r="AX30" s="54">
        <v>49800</v>
      </c>
      <c r="AY30" s="54">
        <f>297000+27600+118950</f>
        <v>443550</v>
      </c>
      <c r="AZ30" s="57"/>
      <c r="BX30" s="56">
        <v>10350</v>
      </c>
      <c r="BY30" s="54"/>
      <c r="BZ30" s="54"/>
      <c r="CA30" s="54"/>
      <c r="CB30" s="54"/>
      <c r="CC30" s="54">
        <v>33000</v>
      </c>
      <c r="CD30" s="54">
        <v>79350</v>
      </c>
      <c r="CE30" s="54">
        <v>77700</v>
      </c>
      <c r="CF30" s="54"/>
      <c r="CG30" s="54"/>
      <c r="CH30" s="54"/>
      <c r="CI30" s="54"/>
      <c r="CJ30" s="54"/>
      <c r="CK30" s="91"/>
      <c r="CL30" s="54">
        <v>172000</v>
      </c>
      <c r="CM30" s="54"/>
      <c r="CN30" s="54"/>
      <c r="CO30" s="57"/>
      <c r="DP30" s="56"/>
      <c r="DQ30" s="54"/>
      <c r="DR30" s="54"/>
      <c r="DS30" s="54">
        <v>72600</v>
      </c>
      <c r="DT30" s="54">
        <v>80250</v>
      </c>
      <c r="DU30" s="54"/>
      <c r="DV30" s="54">
        <f>150000+150000</f>
        <v>300000</v>
      </c>
      <c r="DW30" s="54">
        <v>254550</v>
      </c>
      <c r="DX30" s="54"/>
      <c r="DY30" s="54"/>
      <c r="DZ30" s="54"/>
      <c r="EA30" s="54">
        <v>139650</v>
      </c>
      <c r="EB30" s="54">
        <v>320850</v>
      </c>
      <c r="EC30" s="54">
        <v>21900</v>
      </c>
      <c r="ED30" s="54"/>
      <c r="EE30" s="54">
        <f>486000+168600</f>
        <v>654600</v>
      </c>
      <c r="EF30" s="57"/>
      <c r="EH30" s="56">
        <v>149000</v>
      </c>
      <c r="EI30" s="54">
        <v>30750</v>
      </c>
      <c r="EJ30" s="54"/>
      <c r="EK30" s="54"/>
      <c r="EL30" s="54">
        <v>357900</v>
      </c>
      <c r="EM30" s="54">
        <v>186750</v>
      </c>
      <c r="EN30" s="54">
        <v>319950</v>
      </c>
      <c r="EO30" s="54">
        <v>343950</v>
      </c>
      <c r="EP30" s="54"/>
      <c r="EQ30" s="54">
        <v>450000</v>
      </c>
      <c r="ER30" s="54">
        <v>331200</v>
      </c>
      <c r="ES30" s="54">
        <v>282900</v>
      </c>
      <c r="ET30" s="54">
        <v>235500</v>
      </c>
      <c r="EU30" s="54">
        <v>271800</v>
      </c>
      <c r="EV30" s="54">
        <f>486000+187500</f>
        <v>673500</v>
      </c>
      <c r="EW30" s="57">
        <f>250000+150000</f>
        <v>400000</v>
      </c>
      <c r="EZ30" s="56">
        <v>68550</v>
      </c>
      <c r="FA30" s="54">
        <v>113550</v>
      </c>
      <c r="FB30" s="54">
        <v>148050</v>
      </c>
      <c r="FC30" s="54">
        <v>22800</v>
      </c>
      <c r="FD30" s="54">
        <v>182700</v>
      </c>
      <c r="FE30" s="54">
        <v>311700</v>
      </c>
      <c r="FF30" s="54">
        <v>132000</v>
      </c>
      <c r="FG30" s="54"/>
      <c r="FH30" s="54"/>
      <c r="FI30" s="54">
        <v>210150</v>
      </c>
      <c r="FJ30" s="54"/>
      <c r="FK30" s="54"/>
      <c r="FL30" s="54">
        <v>187650</v>
      </c>
      <c r="FM30" s="54"/>
      <c r="FN30" s="54">
        <f>486000+583800</f>
        <v>1069800</v>
      </c>
      <c r="FO30" s="57"/>
      <c r="FR30" s="56">
        <v>60450</v>
      </c>
      <c r="FS30" s="54"/>
      <c r="FT30" s="54">
        <v>53250</v>
      </c>
      <c r="FU30" s="54">
        <v>19950</v>
      </c>
      <c r="FV30" s="54">
        <f>6450+234600</f>
        <v>241050</v>
      </c>
      <c r="FW30" s="54">
        <v>38850</v>
      </c>
      <c r="FX30" s="54">
        <v>592950</v>
      </c>
      <c r="FY30" s="54">
        <v>150000</v>
      </c>
      <c r="FZ30" s="54"/>
      <c r="GA30" s="54">
        <v>160500</v>
      </c>
      <c r="GB30" s="54"/>
      <c r="GC30" s="54"/>
      <c r="GD30" s="54">
        <f>250000+250000</f>
        <v>500000</v>
      </c>
      <c r="GE30" s="54">
        <v>22950</v>
      </c>
      <c r="GF30" s="54">
        <f>486000+71850+364050</f>
        <v>921900</v>
      </c>
      <c r="GG30" s="57"/>
      <c r="GJ30" s="56">
        <v>71250</v>
      </c>
      <c r="GK30" s="54">
        <f>150000+45300</f>
        <v>195300</v>
      </c>
      <c r="GL30" s="54">
        <v>46500</v>
      </c>
      <c r="GM30" s="54"/>
      <c r="GN30" s="54">
        <v>335700</v>
      </c>
      <c r="GO30" s="54">
        <f>150000+150000+561750</f>
        <v>861750</v>
      </c>
      <c r="GP30" s="54">
        <v>135900</v>
      </c>
      <c r="GQ30" s="54">
        <v>18000</v>
      </c>
      <c r="GR30" s="143">
        <f>103650+298200</f>
        <v>401850</v>
      </c>
      <c r="GS30" s="143">
        <v>27000</v>
      </c>
      <c r="GT30" s="143">
        <f>150000+150000</f>
        <v>300000</v>
      </c>
      <c r="GU30" s="143">
        <v>26850</v>
      </c>
      <c r="GV30" s="143">
        <v>250050</v>
      </c>
      <c r="GW30" s="143">
        <v>325050</v>
      </c>
      <c r="GX30" s="143">
        <v>486000</v>
      </c>
      <c r="GY30" s="135"/>
      <c r="GZ30" s="49"/>
      <c r="HA30" s="49"/>
      <c r="HB30" s="49"/>
      <c r="HC30" s="59">
        <v>88500</v>
      </c>
      <c r="HD30" s="60">
        <v>17250</v>
      </c>
      <c r="HE30" s="60"/>
      <c r="HF30" s="60">
        <v>443700</v>
      </c>
      <c r="HG30" s="60">
        <v>91050</v>
      </c>
      <c r="HH30" s="60">
        <v>306000</v>
      </c>
      <c r="HI30" s="60"/>
      <c r="HJ30" s="93"/>
      <c r="HK30" s="93">
        <v>38550</v>
      </c>
      <c r="HL30" s="93">
        <v>150000</v>
      </c>
      <c r="HM30" s="93"/>
      <c r="HN30" s="93">
        <v>300000</v>
      </c>
      <c r="HO30" s="93">
        <v>421800</v>
      </c>
      <c r="HP30" s="93">
        <f>590850+486000</f>
        <v>1076850</v>
      </c>
      <c r="HQ30" s="94"/>
      <c r="HR30" s="95"/>
      <c r="HS30" s="50"/>
      <c r="HT30" s="74"/>
      <c r="HU30" s="64">
        <v>182700</v>
      </c>
      <c r="HV30" s="64">
        <v>12900</v>
      </c>
      <c r="HW30" s="64"/>
      <c r="HX30" s="64">
        <v>26250</v>
      </c>
      <c r="HY30" s="64">
        <v>329700</v>
      </c>
      <c r="HZ30" s="64">
        <v>125250</v>
      </c>
      <c r="IA30" s="64"/>
      <c r="IB30" s="64">
        <v>28350</v>
      </c>
      <c r="IC30" s="64"/>
      <c r="ID30" s="64"/>
      <c r="IE30" s="64">
        <v>109950</v>
      </c>
      <c r="IF30" s="64">
        <v>300000</v>
      </c>
      <c r="IG30" s="64">
        <v>481200</v>
      </c>
      <c r="IH30" s="64">
        <v>514050</v>
      </c>
      <c r="II30" s="65">
        <v>486000</v>
      </c>
      <c r="IK30" s="147" t="s">
        <v>81</v>
      </c>
    </row>
    <row r="31" spans="1:378" s="12" customFormat="1" ht="18.75" x14ac:dyDescent="0.25">
      <c r="A31" s="12" t="s">
        <v>6</v>
      </c>
      <c r="B31" s="31">
        <f>B30-B29</f>
        <v>5760050</v>
      </c>
      <c r="F31" s="12">
        <f>920/12</f>
        <v>76.666666666666671</v>
      </c>
      <c r="AG31" s="66" t="s">
        <v>39</v>
      </c>
      <c r="AH31" s="67">
        <f>SUM(S30:AH30)-SUM(S29:AH29)</f>
        <v>-404850</v>
      </c>
      <c r="AO31" s="41"/>
      <c r="AY31" s="66" t="s">
        <v>40</v>
      </c>
      <c r="AZ31" s="67">
        <f>SUM(AI30:AZ30)-SUM(AI29:AZ29)</f>
        <v>276750</v>
      </c>
      <c r="CL31" s="66" t="s">
        <v>41</v>
      </c>
      <c r="CM31" s="67">
        <f>SUM(BX30:CO30)-SUM(BX29:CO29)</f>
        <v>114400</v>
      </c>
      <c r="EE31" s="66" t="s">
        <v>20</v>
      </c>
      <c r="EF31" s="67">
        <f>SUM(DP30:EF30)-SUM(DP29:EF29)</f>
        <v>-152600</v>
      </c>
      <c r="EV31" s="66" t="s">
        <v>20</v>
      </c>
      <c r="EW31" s="67">
        <f>SUM(EH30:EW30)-SUM(EH29:EW29)</f>
        <v>2406200</v>
      </c>
      <c r="FN31" s="66" t="s">
        <v>20</v>
      </c>
      <c r="FO31" s="67">
        <f>SUM(EZ30:FO30)-SUM(EZ29:FO29)</f>
        <v>516950</v>
      </c>
      <c r="GF31" s="66" t="s">
        <v>20</v>
      </c>
      <c r="GG31" s="67">
        <f>SUM(FR30:GG30)-SUM(FR29:GG29)</f>
        <v>796850</v>
      </c>
      <c r="GR31" s="49"/>
      <c r="GS31" s="49"/>
      <c r="GT31" s="49"/>
      <c r="GU31" s="49"/>
      <c r="GV31" s="49"/>
      <c r="GW31" s="49"/>
      <c r="GX31" s="96" t="s">
        <v>19</v>
      </c>
      <c r="GY31" s="96">
        <f>SUM(GJ30:GY30)-SUM(GJ29:GY29)</f>
        <v>866200</v>
      </c>
      <c r="GZ31" s="49"/>
      <c r="HA31" s="49"/>
      <c r="HB31" s="49"/>
      <c r="HC31" s="49"/>
      <c r="HD31" s="49"/>
      <c r="HE31" s="49"/>
      <c r="HF31" s="49"/>
      <c r="HG31" s="49"/>
      <c r="HH31" s="49"/>
      <c r="HI31" s="49"/>
      <c r="HJ31" s="50"/>
      <c r="HK31" s="50"/>
      <c r="HL31" s="50"/>
      <c r="HM31" s="50"/>
      <c r="HN31" s="50"/>
      <c r="HO31" s="50"/>
      <c r="HP31" s="50"/>
      <c r="HQ31" s="97" t="s">
        <v>42</v>
      </c>
      <c r="HR31" s="98">
        <f>SUM(HC30:HR30)-SUM(HC29:HR29)</f>
        <v>901700</v>
      </c>
      <c r="HS31" s="50"/>
      <c r="HT31" s="50"/>
      <c r="HU31" s="50"/>
      <c r="HV31" s="50"/>
      <c r="HW31" s="50"/>
      <c r="HX31" s="50"/>
      <c r="HY31" s="50"/>
      <c r="HZ31" s="50"/>
      <c r="IA31" s="50"/>
      <c r="IB31" s="50"/>
      <c r="IC31" s="50"/>
      <c r="ID31" s="50"/>
      <c r="IE31" s="50"/>
      <c r="IF31" s="50"/>
      <c r="IG31" s="50"/>
      <c r="IH31" s="50"/>
      <c r="II31" s="69" t="s">
        <v>42</v>
      </c>
      <c r="IJ31" s="144">
        <f>SUM(HT30:II30)-SUM(HT29:II29)</f>
        <v>438450</v>
      </c>
      <c r="IK31" s="147" t="s">
        <v>3</v>
      </c>
    </row>
    <row r="32" spans="1:378" ht="19.5" thickBot="1" x14ac:dyDescent="0.3">
      <c r="A32" s="88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70">
        <f>SUM(S30:AH30)/SUM(S29:AH29)</f>
        <v>0.73745136186770432</v>
      </c>
      <c r="AI32" s="12"/>
      <c r="AJ32" s="12"/>
      <c r="AK32" s="12"/>
      <c r="AL32" s="12"/>
      <c r="AM32" s="12"/>
      <c r="AN32" s="12"/>
      <c r="AO32" s="41"/>
      <c r="AP32" s="12"/>
      <c r="AQ32" s="12"/>
      <c r="AR32" s="12"/>
      <c r="AS32" s="12"/>
      <c r="AT32" s="12"/>
      <c r="AU32" s="12"/>
      <c r="AV32" s="12"/>
      <c r="AW32" s="12"/>
      <c r="AX32" s="12"/>
      <c r="AY32" s="66"/>
      <c r="AZ32" s="70">
        <f>SUM(AI30:AZ30)/SUM(AI29:AZ29)</f>
        <v>1.2956730769230769</v>
      </c>
      <c r="BA32" s="12"/>
      <c r="BB32" s="12"/>
      <c r="BC32" s="12"/>
      <c r="BD32" s="12"/>
      <c r="BE32" s="12"/>
      <c r="BF32" s="12"/>
      <c r="CL32" s="12"/>
      <c r="CM32" s="70">
        <f>SUM(BX30:CO30)/SUM(BX29:CO29)</f>
        <v>1.4434108527131784</v>
      </c>
      <c r="EE32" s="12"/>
      <c r="EF32" s="70">
        <f>SUM(DP30:EF30)/SUM(DP29:EF29)</f>
        <v>0.92358537806710062</v>
      </c>
      <c r="EV32" s="12"/>
      <c r="EW32" s="70">
        <f>SUM(EH30:EW30)/SUM(EH29:EW29)</f>
        <v>2.4789182544560542</v>
      </c>
      <c r="FN32" s="12"/>
      <c r="FO32" s="70">
        <f>SUM(EZ30:FO30)/SUM(EZ29:FO29)</f>
        <v>1.2678497409326426</v>
      </c>
      <c r="GF32" s="12"/>
      <c r="GG32" s="70">
        <f>SUM(FR30:GG30)/SUM(FR29:GG29)</f>
        <v>1.4055216284987277</v>
      </c>
      <c r="GR32" s="7"/>
      <c r="GS32" s="7"/>
      <c r="GT32" s="7"/>
      <c r="GU32" s="7"/>
      <c r="GV32" s="7"/>
      <c r="GW32" s="7"/>
      <c r="GX32" s="99"/>
      <c r="GY32" s="100">
        <f>SUM(GJ30:GY30)/SUM(GJ29:GY29)</f>
        <v>1.331242829827916</v>
      </c>
      <c r="GZ32" s="7"/>
      <c r="HA32" s="7"/>
      <c r="HB32" s="7"/>
      <c r="HC32" s="7"/>
      <c r="HD32" s="7"/>
      <c r="HE32" s="7"/>
      <c r="HF32" s="7"/>
      <c r="HG32" s="7"/>
      <c r="HH32" s="7"/>
      <c r="HI32" s="7"/>
      <c r="HJ32" s="8"/>
      <c r="HK32" s="8"/>
      <c r="HL32" s="8"/>
      <c r="HM32" s="8"/>
      <c r="HN32" s="8"/>
      <c r="HO32" s="8"/>
      <c r="HP32" s="8"/>
      <c r="HQ32" s="101"/>
      <c r="HR32" s="102">
        <f>SUM(HC30:HR30)/SUM(HC29:HR29)</f>
        <v>1.4437500000000001</v>
      </c>
      <c r="HS32" s="8"/>
      <c r="HT32" s="8"/>
      <c r="HU32" s="8"/>
      <c r="HV32" s="8"/>
      <c r="HW32" s="8"/>
      <c r="HX32" s="8"/>
      <c r="HY32" s="8"/>
      <c r="HZ32" s="8"/>
      <c r="IA32" s="8"/>
      <c r="IB32" s="8"/>
      <c r="IC32" s="8"/>
      <c r="ID32" s="8"/>
      <c r="IE32" s="8"/>
      <c r="IF32" s="8"/>
      <c r="IG32" s="8"/>
      <c r="IH32" s="8"/>
      <c r="II32" s="39"/>
      <c r="IJ32" s="145">
        <f>SUM(HT30:II30)/SUM(HT29:II29)</f>
        <v>1.2031836507715834</v>
      </c>
      <c r="IK32" s="148" t="s">
        <v>84</v>
      </c>
    </row>
    <row r="33" spans="1:279" ht="18.75" x14ac:dyDescent="0.25">
      <c r="A33" s="103" t="s">
        <v>43</v>
      </c>
      <c r="B33" s="104">
        <f>B35/B34</f>
        <v>0.57540475584878037</v>
      </c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41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GR33" s="7"/>
      <c r="GS33" s="7"/>
      <c r="GT33" s="7"/>
      <c r="GU33" s="7"/>
      <c r="GV33" s="7"/>
      <c r="GW33" s="7"/>
      <c r="GX33" s="7"/>
      <c r="GY33" s="7"/>
      <c r="GZ33" s="7"/>
      <c r="HA33" s="7"/>
      <c r="HB33" s="7"/>
      <c r="HC33" s="7"/>
      <c r="HD33" s="7"/>
      <c r="HE33" s="7"/>
      <c r="HF33" s="7"/>
      <c r="HG33" s="7"/>
      <c r="HH33" s="7"/>
      <c r="HI33" s="7"/>
      <c r="HJ33" s="8"/>
      <c r="HK33" s="8"/>
      <c r="HL33" s="8"/>
      <c r="HM33" s="8"/>
      <c r="HN33" s="8"/>
      <c r="HO33" s="8"/>
      <c r="HP33" s="8"/>
      <c r="HQ33" s="8"/>
      <c r="HR33" s="8"/>
      <c r="HS33" s="8"/>
      <c r="HT33" s="8"/>
      <c r="HU33" s="8"/>
      <c r="HV33" s="8"/>
      <c r="HW33" s="8"/>
      <c r="HX33" s="8"/>
      <c r="HY33" s="8"/>
      <c r="HZ33" s="8"/>
      <c r="IA33" s="8"/>
      <c r="IB33" s="8"/>
      <c r="IC33" s="8"/>
      <c r="ID33" s="8"/>
      <c r="IE33" s="8"/>
      <c r="IF33" s="8"/>
      <c r="IG33" s="8"/>
      <c r="IH33" s="8"/>
      <c r="II33" s="8"/>
      <c r="IK33" s="148" t="s">
        <v>84</v>
      </c>
    </row>
    <row r="34" spans="1:279" s="12" customFormat="1" ht="18.75" x14ac:dyDescent="0.2">
      <c r="A34" s="41" t="s">
        <v>2</v>
      </c>
      <c r="B34" s="105">
        <f>SUM(C34:ZZ34)</f>
        <v>9632350</v>
      </c>
      <c r="AN34" s="44">
        <v>185400</v>
      </c>
      <c r="AO34" s="45">
        <v>168100</v>
      </c>
      <c r="AP34" s="42">
        <v>94000</v>
      </c>
      <c r="AQ34" s="42">
        <v>94000</v>
      </c>
      <c r="AR34" s="42">
        <v>42000</v>
      </c>
      <c r="AS34" s="42">
        <v>42000</v>
      </c>
      <c r="AT34" s="42">
        <v>42000</v>
      </c>
      <c r="AU34" s="42">
        <v>42000</v>
      </c>
      <c r="AV34" s="42">
        <v>42000</v>
      </c>
      <c r="AW34" s="42">
        <v>42000</v>
      </c>
      <c r="AX34" s="42">
        <v>42000</v>
      </c>
      <c r="AY34" s="42">
        <v>42000</v>
      </c>
      <c r="AZ34" s="42">
        <v>42000</v>
      </c>
      <c r="BA34" s="42">
        <v>42000</v>
      </c>
      <c r="BB34" s="42">
        <v>42000</v>
      </c>
      <c r="BC34" s="42">
        <v>42000</v>
      </c>
      <c r="BD34" s="43">
        <v>42000</v>
      </c>
      <c r="BE34" s="44">
        <v>42000</v>
      </c>
      <c r="BF34" s="42">
        <v>42000</v>
      </c>
      <c r="BG34" s="42">
        <v>42000</v>
      </c>
      <c r="BH34" s="42">
        <v>42000</v>
      </c>
      <c r="BI34" s="42">
        <v>42000</v>
      </c>
      <c r="BJ34" s="42">
        <v>42000</v>
      </c>
      <c r="BK34" s="42">
        <v>42000</v>
      </c>
      <c r="BL34" s="42">
        <v>42000</v>
      </c>
      <c r="BM34" s="42">
        <v>42000</v>
      </c>
      <c r="BN34" s="42">
        <v>42000</v>
      </c>
      <c r="BO34" s="42">
        <v>79000</v>
      </c>
      <c r="BP34" s="42">
        <v>79000</v>
      </c>
      <c r="BQ34" s="42">
        <v>79000</v>
      </c>
      <c r="BR34" s="42"/>
      <c r="BS34" s="42">
        <v>79000</v>
      </c>
      <c r="BT34" s="42">
        <v>79000</v>
      </c>
      <c r="BU34" s="42">
        <v>79000</v>
      </c>
      <c r="BV34" s="43">
        <v>79000</v>
      </c>
      <c r="BW34" s="44">
        <v>79000</v>
      </c>
      <c r="BX34" s="42">
        <v>102300</v>
      </c>
      <c r="BY34" s="42">
        <v>80950</v>
      </c>
      <c r="BZ34" s="42">
        <v>57300</v>
      </c>
      <c r="CA34" s="42">
        <v>51200</v>
      </c>
      <c r="CB34" s="42">
        <v>51700</v>
      </c>
      <c r="CC34" s="42">
        <v>73850</v>
      </c>
      <c r="CD34" s="42">
        <v>101050</v>
      </c>
      <c r="CE34" s="42">
        <v>100300</v>
      </c>
      <c r="CF34" s="42">
        <v>93150</v>
      </c>
      <c r="CG34" s="42">
        <v>118850</v>
      </c>
      <c r="CH34" s="42">
        <v>89800</v>
      </c>
      <c r="CI34" s="42">
        <v>114550</v>
      </c>
      <c r="CJ34" s="42">
        <v>98700</v>
      </c>
      <c r="CK34" s="42">
        <v>113800</v>
      </c>
      <c r="CL34" s="42">
        <v>121750</v>
      </c>
      <c r="CM34" s="42">
        <v>159350</v>
      </c>
      <c r="CN34" s="43">
        <v>151400</v>
      </c>
      <c r="CQ34" s="44">
        <v>110850</v>
      </c>
      <c r="CR34" s="42">
        <v>41000</v>
      </c>
      <c r="CS34" s="42">
        <v>41000</v>
      </c>
      <c r="CT34" s="42">
        <v>41000</v>
      </c>
      <c r="CU34" s="42">
        <v>41000</v>
      </c>
      <c r="CV34" s="42">
        <v>41000</v>
      </c>
      <c r="CW34" s="42">
        <v>41000</v>
      </c>
      <c r="CX34" s="42">
        <v>41000</v>
      </c>
      <c r="CY34" s="42">
        <v>41000</v>
      </c>
      <c r="CZ34" s="42">
        <v>41000</v>
      </c>
      <c r="DA34" s="42">
        <v>41000</v>
      </c>
      <c r="DB34" s="42">
        <v>41000</v>
      </c>
      <c r="DC34" s="42">
        <v>41000</v>
      </c>
      <c r="DD34" s="42"/>
      <c r="DE34" s="42"/>
      <c r="DF34" s="43"/>
      <c r="EQ34" s="44">
        <v>41000</v>
      </c>
      <c r="ER34" s="42">
        <v>41000</v>
      </c>
      <c r="ES34" s="42">
        <v>41000</v>
      </c>
      <c r="ET34" s="42">
        <v>41000</v>
      </c>
      <c r="EU34" s="42">
        <v>41000</v>
      </c>
      <c r="EV34" s="42">
        <v>41000</v>
      </c>
      <c r="EW34" s="42">
        <v>41000</v>
      </c>
      <c r="EX34" s="42">
        <v>41000</v>
      </c>
      <c r="EY34" s="42">
        <v>41000</v>
      </c>
      <c r="EZ34" s="42">
        <v>41000</v>
      </c>
      <c r="FA34" s="42">
        <v>41000</v>
      </c>
      <c r="FB34" s="42">
        <v>41000</v>
      </c>
      <c r="FC34" s="42">
        <v>41000</v>
      </c>
      <c r="FD34" s="42">
        <v>41000</v>
      </c>
      <c r="FE34" s="42">
        <v>41000</v>
      </c>
      <c r="FF34" s="43">
        <v>41000</v>
      </c>
      <c r="FG34" s="44">
        <v>41000</v>
      </c>
      <c r="FH34" s="42">
        <v>41000</v>
      </c>
      <c r="FI34" s="42">
        <v>41000</v>
      </c>
      <c r="FJ34" s="42"/>
      <c r="FK34" s="42">
        <v>41000</v>
      </c>
      <c r="FL34" s="42">
        <v>41000</v>
      </c>
      <c r="FM34" s="42">
        <v>41000</v>
      </c>
      <c r="FN34" s="42">
        <v>41000</v>
      </c>
      <c r="FO34" s="42">
        <v>41000</v>
      </c>
      <c r="FP34" s="42">
        <v>41000</v>
      </c>
      <c r="FQ34" s="42">
        <v>41000</v>
      </c>
      <c r="FR34" s="42">
        <v>41000</v>
      </c>
      <c r="FS34" s="42">
        <v>41000</v>
      </c>
      <c r="FT34" s="42">
        <v>116000</v>
      </c>
      <c r="FU34" s="42">
        <v>116000</v>
      </c>
      <c r="FV34" s="42">
        <v>113000</v>
      </c>
      <c r="FW34" s="42">
        <v>113000</v>
      </c>
      <c r="FX34" s="43">
        <v>113000</v>
      </c>
      <c r="GA34" s="44">
        <v>113000</v>
      </c>
      <c r="GB34" s="42">
        <v>113000</v>
      </c>
      <c r="GC34" s="42">
        <v>113000</v>
      </c>
      <c r="GD34" s="42">
        <v>113000</v>
      </c>
      <c r="GE34" s="42">
        <v>70000</v>
      </c>
      <c r="GF34" s="42">
        <v>70000</v>
      </c>
      <c r="GG34" s="42">
        <v>70000</v>
      </c>
      <c r="GH34" s="42">
        <v>70000</v>
      </c>
      <c r="GI34" s="42">
        <v>70000</v>
      </c>
      <c r="GJ34" s="42">
        <v>70000</v>
      </c>
      <c r="GK34" s="42">
        <v>70000</v>
      </c>
      <c r="GL34" s="42">
        <v>67000</v>
      </c>
      <c r="GM34" s="42">
        <v>67000</v>
      </c>
      <c r="GN34" s="42">
        <v>67000</v>
      </c>
      <c r="GO34" s="42">
        <v>67000</v>
      </c>
      <c r="GP34" s="43">
        <v>67000</v>
      </c>
      <c r="GR34" s="49"/>
      <c r="GS34" s="46"/>
      <c r="GT34" s="47">
        <v>67000</v>
      </c>
      <c r="GU34" s="47">
        <v>67000</v>
      </c>
      <c r="GV34" s="47">
        <v>67000</v>
      </c>
      <c r="GW34" s="47">
        <v>61000</v>
      </c>
      <c r="GX34" s="47">
        <v>61000</v>
      </c>
      <c r="GY34" s="47">
        <v>61000</v>
      </c>
      <c r="GZ34" s="47">
        <v>61000</v>
      </c>
      <c r="HA34" s="47">
        <v>61000</v>
      </c>
      <c r="HB34" s="47">
        <v>61000</v>
      </c>
      <c r="HC34" s="47">
        <v>61000</v>
      </c>
      <c r="HD34" s="47">
        <v>61000</v>
      </c>
      <c r="HE34" s="47">
        <v>61000</v>
      </c>
      <c r="HF34" s="47">
        <v>61000</v>
      </c>
      <c r="HG34" s="47">
        <v>61000</v>
      </c>
      <c r="HH34" s="48">
        <v>61000</v>
      </c>
      <c r="HI34" s="49"/>
      <c r="HJ34" s="50"/>
      <c r="HK34" s="51">
        <v>61000</v>
      </c>
      <c r="HL34" s="52">
        <v>61000</v>
      </c>
      <c r="HM34" s="52">
        <v>61000</v>
      </c>
      <c r="HN34" s="52">
        <v>61000</v>
      </c>
      <c r="HO34" s="52">
        <v>61000</v>
      </c>
      <c r="HP34" s="52">
        <v>61000</v>
      </c>
      <c r="HQ34" s="52">
        <v>61000</v>
      </c>
      <c r="HR34" s="52">
        <v>61000</v>
      </c>
      <c r="HS34" s="52">
        <v>61000</v>
      </c>
      <c r="HT34" s="52">
        <v>61000</v>
      </c>
      <c r="HU34" s="52">
        <v>61000</v>
      </c>
      <c r="HV34" s="52">
        <v>61000</v>
      </c>
      <c r="HW34" s="52">
        <v>61000</v>
      </c>
      <c r="HX34" s="52"/>
      <c r="HY34" s="52"/>
      <c r="HZ34" s="53">
        <v>61000</v>
      </c>
      <c r="IA34" s="50"/>
      <c r="IB34" s="50"/>
      <c r="IC34" s="73"/>
      <c r="ID34" s="50">
        <v>61000</v>
      </c>
      <c r="IE34" s="50">
        <v>61000</v>
      </c>
      <c r="IF34" s="50">
        <v>61000</v>
      </c>
      <c r="IG34" s="50">
        <v>61000</v>
      </c>
      <c r="IH34" s="50">
        <v>61000</v>
      </c>
      <c r="II34" s="50">
        <v>61000</v>
      </c>
      <c r="IJ34" s="12">
        <v>61000</v>
      </c>
      <c r="IK34" s="147" t="s">
        <v>23</v>
      </c>
    </row>
    <row r="35" spans="1:279" s="12" customFormat="1" ht="19.5" thickBot="1" x14ac:dyDescent="0.25">
      <c r="A35" s="41" t="s">
        <v>4</v>
      </c>
      <c r="B35" s="105">
        <f>SUM(C35:ZZ35)</f>
        <v>5542500</v>
      </c>
      <c r="AM35" s="106">
        <v>511750</v>
      </c>
      <c r="AN35" s="56">
        <v>900</v>
      </c>
      <c r="AO35" s="58">
        <v>1500</v>
      </c>
      <c r="AP35" s="54">
        <v>3900</v>
      </c>
      <c r="AQ35" s="54"/>
      <c r="AR35" s="54">
        <f>14850+12750</f>
        <v>27600</v>
      </c>
      <c r="AS35" s="54">
        <f>8550+61950</f>
        <v>70500</v>
      </c>
      <c r="AT35" s="54">
        <v>1650</v>
      </c>
      <c r="AU35" s="54">
        <v>4950</v>
      </c>
      <c r="AV35" s="54">
        <v>21000</v>
      </c>
      <c r="AW35" s="54">
        <v>4650</v>
      </c>
      <c r="AX35" s="54">
        <v>5250</v>
      </c>
      <c r="AY35" s="54">
        <v>13500</v>
      </c>
      <c r="AZ35" s="54">
        <v>61650</v>
      </c>
      <c r="BA35" s="54">
        <v>41700</v>
      </c>
      <c r="BB35" s="54">
        <v>9150</v>
      </c>
      <c r="BC35" s="54">
        <f>149000+2850+26850</f>
        <v>178700</v>
      </c>
      <c r="BD35" s="57"/>
      <c r="BE35" s="56"/>
      <c r="BF35" s="54"/>
      <c r="BG35" s="54">
        <v>10200</v>
      </c>
      <c r="BH35" s="54">
        <v>3900</v>
      </c>
      <c r="BI35" s="54">
        <v>8550</v>
      </c>
      <c r="BJ35" s="54">
        <v>4350</v>
      </c>
      <c r="BK35" s="54">
        <f>41100+17250</f>
        <v>58350</v>
      </c>
      <c r="BL35" s="54">
        <f>3450+39000</f>
        <v>42450</v>
      </c>
      <c r="BM35" s="54">
        <v>7950</v>
      </c>
      <c r="BN35" s="54">
        <v>4500</v>
      </c>
      <c r="BO35" s="54">
        <v>4800</v>
      </c>
      <c r="BP35" s="54">
        <v>17100</v>
      </c>
      <c r="BQ35" s="54">
        <v>6450</v>
      </c>
      <c r="BR35" s="54"/>
      <c r="BS35" s="54">
        <v>25500</v>
      </c>
      <c r="BT35" s="54">
        <v>68250</v>
      </c>
      <c r="BU35" s="54">
        <f>16650+149000</f>
        <v>165650</v>
      </c>
      <c r="BV35" s="57"/>
      <c r="BW35" s="56"/>
      <c r="BX35" s="54">
        <v>3450</v>
      </c>
      <c r="BY35" s="54">
        <v>4050</v>
      </c>
      <c r="BZ35" s="54">
        <v>10050</v>
      </c>
      <c r="CA35" s="54"/>
      <c r="CB35" s="54">
        <f>105450+187200</f>
        <v>292650</v>
      </c>
      <c r="CC35" s="54">
        <v>21450</v>
      </c>
      <c r="CD35" s="54">
        <v>69750</v>
      </c>
      <c r="CE35" s="54">
        <v>11400</v>
      </c>
      <c r="CF35" s="54">
        <v>60900</v>
      </c>
      <c r="CG35" s="54">
        <v>9900</v>
      </c>
      <c r="CH35" s="54">
        <v>21900</v>
      </c>
      <c r="CI35" s="54">
        <v>20400</v>
      </c>
      <c r="CJ35" s="54">
        <v>27000</v>
      </c>
      <c r="CK35" s="54">
        <f>560000+31500</f>
        <v>591500</v>
      </c>
      <c r="CL35" s="54"/>
      <c r="CM35" s="54"/>
      <c r="CN35" s="57"/>
      <c r="CQ35" s="56">
        <v>4050</v>
      </c>
      <c r="CR35" s="54">
        <v>3750</v>
      </c>
      <c r="CS35" s="54">
        <v>8100</v>
      </c>
      <c r="CT35" s="54">
        <v>5100</v>
      </c>
      <c r="CU35" s="54">
        <v>12600</v>
      </c>
      <c r="CV35" s="54">
        <v>19500</v>
      </c>
      <c r="CW35" s="54">
        <v>8250</v>
      </c>
      <c r="CX35" s="54">
        <v>7500</v>
      </c>
      <c r="CY35" s="54">
        <v>2850</v>
      </c>
      <c r="CZ35" s="54">
        <v>69750</v>
      </c>
      <c r="DA35" s="54"/>
      <c r="DB35" s="54">
        <v>133650</v>
      </c>
      <c r="DC35" s="54">
        <v>11700</v>
      </c>
      <c r="DD35" s="54"/>
      <c r="DE35" s="54">
        <v>234000</v>
      </c>
      <c r="DF35" s="57"/>
      <c r="EQ35" s="56">
        <v>1950</v>
      </c>
      <c r="ER35" s="54">
        <v>600</v>
      </c>
      <c r="ES35" s="54">
        <v>1800</v>
      </c>
      <c r="ET35" s="54">
        <v>2100</v>
      </c>
      <c r="EU35" s="54">
        <v>78600</v>
      </c>
      <c r="EV35" s="54">
        <v>5700</v>
      </c>
      <c r="EW35" s="54">
        <v>32850</v>
      </c>
      <c r="EX35" s="54">
        <v>55650</v>
      </c>
      <c r="EY35" s="54">
        <v>1950</v>
      </c>
      <c r="EZ35" s="54">
        <v>5400</v>
      </c>
      <c r="FA35" s="54">
        <v>1800</v>
      </c>
      <c r="FB35" s="54">
        <v>2100</v>
      </c>
      <c r="FC35" s="54">
        <v>3750</v>
      </c>
      <c r="FD35" s="54">
        <v>27600</v>
      </c>
      <c r="FE35" s="54">
        <f>155000+28500</f>
        <v>183500</v>
      </c>
      <c r="FF35" s="57"/>
      <c r="FG35" s="56"/>
      <c r="FH35" s="54"/>
      <c r="FI35" s="54">
        <v>4050</v>
      </c>
      <c r="FJ35" s="54"/>
      <c r="FK35" s="54"/>
      <c r="FL35" s="54"/>
      <c r="FM35" s="54">
        <f>5700+69600</f>
        <v>75300</v>
      </c>
      <c r="FN35" s="54">
        <v>27300</v>
      </c>
      <c r="FO35" s="54">
        <v>4950</v>
      </c>
      <c r="FP35" s="54">
        <v>45600</v>
      </c>
      <c r="FQ35" s="54"/>
      <c r="FR35" s="54"/>
      <c r="FS35" s="54">
        <v>23550</v>
      </c>
      <c r="FT35" s="54">
        <v>36600</v>
      </c>
      <c r="FU35" s="54">
        <v>45750</v>
      </c>
      <c r="FV35" s="54">
        <v>1950</v>
      </c>
      <c r="FW35" s="54">
        <f>155000+16050</f>
        <v>171050</v>
      </c>
      <c r="FX35" s="57"/>
      <c r="GA35" s="56">
        <v>750</v>
      </c>
      <c r="GB35" s="54">
        <v>4050</v>
      </c>
      <c r="GC35" s="54">
        <v>1950</v>
      </c>
      <c r="GD35" s="54">
        <v>4050</v>
      </c>
      <c r="GE35" s="54">
        <f>7500+37800</f>
        <v>45300</v>
      </c>
      <c r="GF35" s="54">
        <v>54300</v>
      </c>
      <c r="GG35" s="54">
        <v>1950</v>
      </c>
      <c r="GH35" s="54">
        <v>50850</v>
      </c>
      <c r="GI35" s="54">
        <v>24300</v>
      </c>
      <c r="GJ35" s="54">
        <v>29400</v>
      </c>
      <c r="GK35" s="54">
        <v>4500</v>
      </c>
      <c r="GL35" s="54">
        <v>12600</v>
      </c>
      <c r="GM35" s="54">
        <v>9600</v>
      </c>
      <c r="GN35" s="54">
        <v>1800</v>
      </c>
      <c r="GO35" s="54">
        <f>155000+4950+90150</f>
        <v>250100</v>
      </c>
      <c r="GP35" s="57">
        <v>250000</v>
      </c>
      <c r="GR35" s="49"/>
      <c r="GS35" s="59">
        <v>11850</v>
      </c>
      <c r="GT35" s="60">
        <v>10050</v>
      </c>
      <c r="GU35" s="60">
        <v>4050</v>
      </c>
      <c r="GV35" s="60">
        <v>4050</v>
      </c>
      <c r="GW35" s="60">
        <v>7500</v>
      </c>
      <c r="GX35" s="60">
        <v>90000</v>
      </c>
      <c r="GY35" s="60">
        <v>68250</v>
      </c>
      <c r="GZ35" s="60">
        <v>0</v>
      </c>
      <c r="HA35" s="60">
        <v>1650</v>
      </c>
      <c r="HB35" s="60">
        <v>0</v>
      </c>
      <c r="HC35" s="60">
        <v>15900</v>
      </c>
      <c r="HD35" s="60">
        <v>20400</v>
      </c>
      <c r="HE35" s="60">
        <v>6600</v>
      </c>
      <c r="HF35" s="60">
        <v>8850</v>
      </c>
      <c r="HG35" s="49">
        <v>5700</v>
      </c>
      <c r="HH35" s="61">
        <v>155000</v>
      </c>
      <c r="HI35" s="49"/>
      <c r="HJ35" s="50"/>
      <c r="HK35" s="74"/>
      <c r="HL35" s="64">
        <v>600</v>
      </c>
      <c r="HM35" s="64"/>
      <c r="HN35" s="64">
        <v>38100</v>
      </c>
      <c r="HO35" s="64">
        <v>750</v>
      </c>
      <c r="HP35" s="64">
        <v>26700</v>
      </c>
      <c r="HQ35" s="64">
        <v>21150</v>
      </c>
      <c r="HR35" s="64">
        <v>25050</v>
      </c>
      <c r="HS35" s="64"/>
      <c r="HT35" s="64">
        <v>30000</v>
      </c>
      <c r="HU35" s="64">
        <v>9150</v>
      </c>
      <c r="HV35" s="64">
        <v>2850</v>
      </c>
      <c r="HW35" s="64">
        <v>7650</v>
      </c>
      <c r="HX35" s="64">
        <v>25200</v>
      </c>
      <c r="HY35" s="64">
        <f>22350+32250</f>
        <v>54600</v>
      </c>
      <c r="HZ35" s="65">
        <v>155000</v>
      </c>
      <c r="IA35" s="50"/>
      <c r="IB35" s="50"/>
      <c r="IC35" s="73">
        <v>1050</v>
      </c>
      <c r="ID35" s="50">
        <v>2700</v>
      </c>
      <c r="IE35" s="50">
        <v>450</v>
      </c>
      <c r="IF35" s="50">
        <v>1500</v>
      </c>
      <c r="IG35" s="50">
        <v>26700</v>
      </c>
      <c r="IH35" s="50">
        <v>32700</v>
      </c>
      <c r="II35" s="50">
        <v>21750</v>
      </c>
      <c r="IJ35" s="12">
        <v>10500</v>
      </c>
      <c r="IK35" s="147" t="s">
        <v>5</v>
      </c>
    </row>
    <row r="36" spans="1:279" s="12" customFormat="1" ht="18.75" x14ac:dyDescent="0.25">
      <c r="A36" s="41" t="s">
        <v>6</v>
      </c>
      <c r="B36" s="107">
        <f>B35-B34</f>
        <v>-4089850</v>
      </c>
      <c r="AO36" s="41"/>
      <c r="BC36" s="66" t="s">
        <v>35</v>
      </c>
      <c r="BD36" s="67">
        <f>SUM(AN35:BD35)-SUM(AN34:BD34)</f>
        <v>-640900</v>
      </c>
      <c r="BU36" s="66" t="s">
        <v>35</v>
      </c>
      <c r="BV36" s="67">
        <f>SUM(BE35:BV35)-SUM(BE34:BV34)</f>
        <v>-545000</v>
      </c>
      <c r="CK36" s="66" t="s">
        <v>44</v>
      </c>
      <c r="CL36" s="67">
        <f>SUM(BW35:CN35)-SUM(BW34:CN34)</f>
        <v>-614600</v>
      </c>
      <c r="DE36" s="66" t="s">
        <v>45</v>
      </c>
      <c r="DF36" s="67">
        <f>SUM(CQ35:DF35)-SUM(CQ34:DF34)</f>
        <v>-82050</v>
      </c>
      <c r="FE36" s="66" t="s">
        <v>46</v>
      </c>
      <c r="FF36" s="67">
        <f>SUM(EQ35:FF35)-SUM(EQ34:FF34)</f>
        <v>-250650</v>
      </c>
      <c r="FW36" s="66" t="s">
        <v>46</v>
      </c>
      <c r="FX36" s="67">
        <f>SUM(FG35:FX35)-SUM(FG34:FX34)</f>
        <v>-626900</v>
      </c>
      <c r="GO36" s="66" t="s">
        <v>46</v>
      </c>
      <c r="GP36" s="67">
        <f>SUM(GA35:GP35)-SUM(GA34:GP34)</f>
        <v>-531500</v>
      </c>
      <c r="GR36" s="49"/>
      <c r="GS36" s="49"/>
      <c r="GT36" s="49"/>
      <c r="GU36" s="49"/>
      <c r="GV36" s="49"/>
      <c r="GW36" s="49"/>
      <c r="GX36" s="49"/>
      <c r="GY36" s="49"/>
      <c r="GZ36" s="49"/>
      <c r="HA36" s="49"/>
      <c r="HB36" s="49"/>
      <c r="HC36" s="49"/>
      <c r="HD36" s="49"/>
      <c r="HE36" s="49"/>
      <c r="HF36" s="49"/>
      <c r="HG36" s="68" t="s">
        <v>46</v>
      </c>
      <c r="HH36" s="33">
        <f>SUM(GS35:HH35)-SUM(GS34:HH34)</f>
        <v>-523150</v>
      </c>
      <c r="HI36" s="49"/>
      <c r="HJ36" s="50"/>
      <c r="HK36" s="50"/>
      <c r="HL36" s="50"/>
      <c r="HM36" s="50"/>
      <c r="HN36" s="50"/>
      <c r="HO36" s="50"/>
      <c r="HP36" s="50"/>
      <c r="HQ36" s="50"/>
      <c r="HR36" s="50"/>
      <c r="HS36" s="50"/>
      <c r="HT36" s="50"/>
      <c r="HU36" s="50"/>
      <c r="HV36" s="50"/>
      <c r="HW36" s="50"/>
      <c r="HX36" s="50"/>
      <c r="HY36" s="50"/>
      <c r="HZ36" s="69" t="s">
        <v>46</v>
      </c>
      <c r="IA36" s="35">
        <f>SUM(HK35:HZ35)-SUM(HK34:HZ34)</f>
        <v>-457200</v>
      </c>
      <c r="IB36" s="50"/>
      <c r="IC36" s="50"/>
      <c r="ID36" s="50"/>
      <c r="IE36" s="50"/>
      <c r="IF36" s="50"/>
      <c r="IG36" s="50"/>
      <c r="IH36" s="50"/>
      <c r="II36" s="50"/>
      <c r="IK36" s="147" t="s">
        <v>11</v>
      </c>
    </row>
    <row r="37" spans="1:279" ht="19.5" thickBot="1" x14ac:dyDescent="0.3">
      <c r="A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41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  <c r="BC37" s="12"/>
      <c r="BD37" s="70">
        <f>SUM(AN35:BD35)/SUM(AN34:BD34)</f>
        <v>0.41066666666666668</v>
      </c>
      <c r="BE37" s="12"/>
      <c r="BF37" s="12"/>
      <c r="BU37" s="12"/>
      <c r="BV37" s="70">
        <f>SUM(BE35:BV35)/SUM(BE34:BV34)</f>
        <v>0.43987667009249742</v>
      </c>
      <c r="CK37" s="12"/>
      <c r="CL37" s="70">
        <f>SUM(BW35:CN35)/SUM(BW34:CN34)</f>
        <v>0.65059693007390562</v>
      </c>
      <c r="DE37" s="12"/>
      <c r="DF37" s="70">
        <f>SUM(CQ35:DF35)/SUM(CQ34:DF34)</f>
        <v>0.86389649166459315</v>
      </c>
      <c r="FE37" s="12"/>
      <c r="FF37" s="70">
        <f>SUM(EQ35:FF35)/SUM(EQ34:FF34)</f>
        <v>0.61791158536585367</v>
      </c>
      <c r="FW37" s="12"/>
      <c r="FX37" s="70">
        <f>SUM(FG35:FX35)/SUM(FG34:FX34)</f>
        <v>0.41025399811853247</v>
      </c>
      <c r="GO37" s="12"/>
      <c r="GP37" s="70">
        <f>SUM(GA35:GP35)/SUM(GA34:GP34)</f>
        <v>0.58379013312451056</v>
      </c>
      <c r="GR37" s="7"/>
      <c r="GS37" s="7"/>
      <c r="GT37" s="7"/>
      <c r="GU37" s="7"/>
      <c r="GV37" s="7"/>
      <c r="GW37" s="7"/>
      <c r="GX37" s="7"/>
      <c r="GY37" s="7"/>
      <c r="GZ37" s="7"/>
      <c r="HA37" s="7"/>
      <c r="HB37" s="7"/>
      <c r="HC37" s="7"/>
      <c r="HD37" s="7"/>
      <c r="HE37" s="7"/>
      <c r="HF37" s="7"/>
      <c r="HG37" s="37"/>
      <c r="HH37" s="38">
        <f>SUM(GS35:HH35)/SUM(GS34:HH34)</f>
        <v>0.4392818863879957</v>
      </c>
      <c r="HI37" s="7"/>
      <c r="HJ37" s="8"/>
      <c r="HK37" s="8"/>
      <c r="HL37" s="8"/>
      <c r="HM37" s="8"/>
      <c r="HN37" s="8"/>
      <c r="HO37" s="8"/>
      <c r="HP37" s="8"/>
      <c r="HQ37" s="8"/>
      <c r="HR37" s="8"/>
      <c r="HS37" s="8"/>
      <c r="HT37" s="8"/>
      <c r="HU37" s="8"/>
      <c r="HV37" s="8"/>
      <c r="HW37" s="8"/>
      <c r="HX37" s="8"/>
      <c r="HY37" s="8"/>
      <c r="HZ37" s="39"/>
      <c r="IA37" s="40">
        <f>SUM(HK35:HZ35)/SUM(HK34:HZ34)</f>
        <v>0.4646370023419204</v>
      </c>
      <c r="IB37" s="8"/>
      <c r="IC37" s="8"/>
      <c r="ID37" s="8"/>
      <c r="IE37" s="8"/>
      <c r="IF37" s="8"/>
      <c r="IG37" s="8"/>
      <c r="IH37" s="8"/>
      <c r="II37" s="8"/>
      <c r="IK37" s="148" t="s">
        <v>23</v>
      </c>
    </row>
    <row r="38" spans="1:279" ht="18.75" x14ac:dyDescent="0.25">
      <c r="A38" s="9" t="s">
        <v>47</v>
      </c>
      <c r="B38" s="10">
        <f>B40/B39</f>
        <v>1.1774380619037814</v>
      </c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41"/>
      <c r="AP38" s="12"/>
      <c r="AQ38" s="12"/>
      <c r="AR38" s="12"/>
      <c r="AS38" s="12"/>
      <c r="AT38" s="12"/>
      <c r="AU38" s="12"/>
      <c r="AV38" s="12"/>
      <c r="AW38" s="12"/>
      <c r="AX38" s="12"/>
      <c r="AY38" s="12"/>
      <c r="AZ38" s="12"/>
      <c r="BA38" s="12"/>
      <c r="BB38" s="12"/>
      <c r="BC38" s="12"/>
      <c r="BD38" s="70"/>
      <c r="BE38" s="12"/>
      <c r="BF38" s="12"/>
      <c r="BU38" s="12"/>
      <c r="BV38" s="70"/>
      <c r="CK38" s="12"/>
      <c r="CL38" s="70"/>
      <c r="DE38" s="12"/>
      <c r="DF38" s="70"/>
      <c r="GR38" s="7"/>
      <c r="GS38" s="7"/>
      <c r="GT38" s="7"/>
      <c r="GU38" s="7"/>
      <c r="GV38" s="7"/>
      <c r="GW38" s="7"/>
      <c r="GX38" s="7"/>
      <c r="GY38" s="7"/>
      <c r="GZ38" s="7"/>
      <c r="HA38" s="7"/>
      <c r="HB38" s="7"/>
      <c r="HC38" s="7"/>
      <c r="HD38" s="7"/>
      <c r="HE38" s="7"/>
      <c r="HF38" s="7"/>
      <c r="HG38" s="7"/>
      <c r="HH38" s="7"/>
      <c r="HI38" s="7"/>
      <c r="HJ38" s="8"/>
      <c r="HK38" s="8"/>
      <c r="HL38" s="8"/>
      <c r="HM38" s="8"/>
      <c r="HN38" s="8"/>
      <c r="HO38" s="8"/>
      <c r="HP38" s="8"/>
      <c r="HQ38" s="8"/>
      <c r="HR38" s="8"/>
      <c r="HS38" s="8"/>
      <c r="HT38" s="8"/>
      <c r="HU38" s="8"/>
      <c r="HV38" s="8"/>
      <c r="HW38" s="8"/>
      <c r="HX38" s="8"/>
      <c r="HY38" s="8"/>
      <c r="HZ38" s="8"/>
      <c r="IA38" s="8"/>
      <c r="IB38" s="8"/>
      <c r="IC38" s="8"/>
      <c r="ID38" s="8"/>
      <c r="IE38" s="8"/>
      <c r="IF38" s="8"/>
      <c r="IG38" s="8"/>
      <c r="IH38" s="8"/>
      <c r="II38" s="8"/>
      <c r="IK38" s="148" t="s">
        <v>83</v>
      </c>
    </row>
    <row r="39" spans="1:279" ht="18.75" x14ac:dyDescent="0.2">
      <c r="A39" s="12" t="s">
        <v>2</v>
      </c>
      <c r="B39" s="13">
        <f>SUM(C39:ZZ39)</f>
        <v>14571000</v>
      </c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  <c r="AW39" s="12"/>
      <c r="AX39" s="12"/>
      <c r="AY39" s="12"/>
      <c r="AZ39" s="12"/>
      <c r="BA39" s="12"/>
      <c r="BB39" s="12"/>
      <c r="BC39" s="12"/>
      <c r="BD39" s="12"/>
      <c r="BE39" s="12"/>
      <c r="BF39" s="12"/>
      <c r="BG39" s="12"/>
      <c r="BH39" s="12"/>
      <c r="BI39" s="12"/>
      <c r="BJ39" s="12"/>
      <c r="BK39" s="12"/>
      <c r="BL39" s="12"/>
      <c r="BM39" s="12"/>
      <c r="BN39" s="12"/>
      <c r="BO39" s="12"/>
      <c r="BP39" s="12"/>
      <c r="BQ39" s="12"/>
      <c r="BR39" s="12"/>
      <c r="BS39" s="12"/>
      <c r="BT39" s="12"/>
      <c r="BU39" s="12"/>
      <c r="BV39" s="12"/>
      <c r="BW39" s="12"/>
      <c r="BX39" s="12"/>
      <c r="BY39" s="12"/>
      <c r="BZ39" s="12"/>
      <c r="CA39" s="12"/>
      <c r="CB39" s="12"/>
      <c r="CC39" s="12"/>
      <c r="CD39" s="12"/>
      <c r="CE39" s="12"/>
      <c r="CF39" s="12"/>
      <c r="CG39" s="12"/>
      <c r="CH39" s="12"/>
      <c r="CI39" s="12"/>
      <c r="CJ39" s="12"/>
      <c r="CK39" s="12"/>
      <c r="CL39" s="12"/>
      <c r="CM39" s="12"/>
      <c r="CN39" s="12"/>
      <c r="CO39" s="12"/>
      <c r="CP39" s="12"/>
      <c r="CQ39" s="12"/>
      <c r="CR39" s="12"/>
      <c r="CS39" s="12"/>
      <c r="CT39" s="12"/>
      <c r="CU39" s="12"/>
      <c r="CV39" s="12"/>
      <c r="CW39" s="12"/>
      <c r="CX39" s="12"/>
      <c r="CY39" s="12"/>
      <c r="CZ39" s="12"/>
      <c r="DA39" s="12"/>
      <c r="DB39" s="12"/>
      <c r="DC39" s="12"/>
      <c r="DD39" s="12"/>
      <c r="DE39" s="12"/>
      <c r="DF39" s="12"/>
      <c r="DG39" s="12"/>
      <c r="DH39" s="12"/>
      <c r="DI39" s="12"/>
      <c r="DJ39" s="12"/>
      <c r="DK39" s="12"/>
      <c r="DL39" s="12"/>
      <c r="DM39" s="12"/>
      <c r="DN39" s="12"/>
      <c r="DO39" s="12"/>
      <c r="DP39" s="12"/>
      <c r="DQ39" s="12"/>
      <c r="DR39" s="12"/>
      <c r="DS39" s="12"/>
      <c r="DT39" s="12"/>
      <c r="DU39" s="12"/>
      <c r="DV39" s="12"/>
      <c r="DW39" s="12"/>
      <c r="DX39" s="12"/>
      <c r="DY39" s="44">
        <v>42000</v>
      </c>
      <c r="DZ39" s="42">
        <v>115000</v>
      </c>
      <c r="EA39" s="42">
        <v>93000</v>
      </c>
      <c r="EB39" s="42">
        <v>106000</v>
      </c>
      <c r="EC39" s="42">
        <v>98000</v>
      </c>
      <c r="ED39" s="42">
        <v>98000</v>
      </c>
      <c r="EE39" s="42">
        <v>98000</v>
      </c>
      <c r="EF39" s="42">
        <v>98000</v>
      </c>
      <c r="EG39" s="42">
        <v>98000</v>
      </c>
      <c r="EH39" s="42">
        <v>98000</v>
      </c>
      <c r="EI39" s="42">
        <v>147000</v>
      </c>
      <c r="EJ39" s="42">
        <v>146000</v>
      </c>
      <c r="EK39" s="42">
        <v>111000</v>
      </c>
      <c r="EL39" s="42">
        <v>131000</v>
      </c>
      <c r="EM39" s="42">
        <v>131000</v>
      </c>
      <c r="EN39" s="43">
        <v>131000</v>
      </c>
      <c r="EO39" s="42">
        <v>131000</v>
      </c>
      <c r="EP39" s="42">
        <v>131000</v>
      </c>
      <c r="EQ39" s="42">
        <v>131000</v>
      </c>
      <c r="ER39" s="42">
        <v>131000</v>
      </c>
      <c r="ES39" s="42">
        <v>131000</v>
      </c>
      <c r="ET39" s="42">
        <v>131000</v>
      </c>
      <c r="EU39" s="42">
        <v>97000</v>
      </c>
      <c r="EV39" s="42">
        <v>86000</v>
      </c>
      <c r="EW39" s="42">
        <v>86000</v>
      </c>
      <c r="EX39" s="42">
        <v>86000</v>
      </c>
      <c r="EY39" s="42">
        <v>86000</v>
      </c>
      <c r="EZ39" s="42">
        <v>86000</v>
      </c>
      <c r="FA39" s="42">
        <v>86000</v>
      </c>
      <c r="FB39" s="42">
        <v>86000</v>
      </c>
      <c r="FC39" s="42">
        <v>86000</v>
      </c>
      <c r="FD39" s="42">
        <v>86000</v>
      </c>
      <c r="FE39" s="42">
        <v>86000</v>
      </c>
      <c r="FF39" s="43">
        <v>86000</v>
      </c>
      <c r="FG39" s="44">
        <v>86000</v>
      </c>
      <c r="FH39" s="42">
        <v>86000</v>
      </c>
      <c r="FI39" s="42">
        <v>86000</v>
      </c>
      <c r="FJ39" s="42"/>
      <c r="FK39" s="42">
        <v>121000</v>
      </c>
      <c r="FL39" s="42">
        <v>111000</v>
      </c>
      <c r="FM39" s="42">
        <v>102000</v>
      </c>
      <c r="FN39" s="42">
        <v>93000</v>
      </c>
      <c r="FO39" s="42">
        <v>93000</v>
      </c>
      <c r="FP39" s="42">
        <v>136000</v>
      </c>
      <c r="FQ39" s="42">
        <v>136000</v>
      </c>
      <c r="FR39" s="42">
        <v>136000</v>
      </c>
      <c r="FS39" s="42">
        <v>136000</v>
      </c>
      <c r="FT39" s="42">
        <v>136000</v>
      </c>
      <c r="FU39" s="42">
        <v>116000</v>
      </c>
      <c r="FV39" s="42">
        <v>222000</v>
      </c>
      <c r="FW39" s="42">
        <v>222000</v>
      </c>
      <c r="FX39" s="42">
        <v>222000</v>
      </c>
      <c r="FY39" s="43">
        <v>222000</v>
      </c>
      <c r="FZ39" s="12"/>
      <c r="GA39" s="44">
        <v>222000</v>
      </c>
      <c r="GB39" s="42">
        <v>115000</v>
      </c>
      <c r="GC39" s="42">
        <v>115000</v>
      </c>
      <c r="GD39" s="42">
        <v>115000</v>
      </c>
      <c r="GE39" s="42">
        <v>115000</v>
      </c>
      <c r="GF39" s="42">
        <v>181000</v>
      </c>
      <c r="GG39" s="42">
        <v>181000</v>
      </c>
      <c r="GH39" s="42">
        <v>304000</v>
      </c>
      <c r="GI39" s="42">
        <v>169000</v>
      </c>
      <c r="GJ39" s="42">
        <v>249000</v>
      </c>
      <c r="GK39" s="42">
        <v>249000</v>
      </c>
      <c r="GL39" s="42">
        <v>249000</v>
      </c>
      <c r="GM39" s="42">
        <v>228000</v>
      </c>
      <c r="GN39" s="42">
        <v>228000</v>
      </c>
      <c r="GO39" s="42">
        <v>228000</v>
      </c>
      <c r="GP39" s="42">
        <v>228000</v>
      </c>
      <c r="GQ39" s="43">
        <v>228000</v>
      </c>
      <c r="GR39" s="49"/>
      <c r="GS39" s="49"/>
      <c r="GT39" s="49"/>
      <c r="GU39" s="46">
        <v>50000</v>
      </c>
      <c r="GV39" s="47">
        <v>50000</v>
      </c>
      <c r="GW39" s="47">
        <v>50000</v>
      </c>
      <c r="GX39" s="47">
        <v>48000</v>
      </c>
      <c r="GY39" s="47">
        <v>46000</v>
      </c>
      <c r="GZ39" s="47">
        <v>46000</v>
      </c>
      <c r="HA39" s="47">
        <v>46000</v>
      </c>
      <c r="HB39" s="47">
        <v>46000</v>
      </c>
      <c r="HC39" s="47">
        <v>46000</v>
      </c>
      <c r="HD39" s="47">
        <v>46000</v>
      </c>
      <c r="HE39" s="47">
        <v>46000</v>
      </c>
      <c r="HF39" s="47">
        <v>46000</v>
      </c>
      <c r="HG39" s="47">
        <v>46000</v>
      </c>
      <c r="HH39" s="47">
        <v>46000</v>
      </c>
      <c r="HI39" s="47">
        <v>46000</v>
      </c>
      <c r="HJ39" s="47">
        <v>46000</v>
      </c>
      <c r="HK39" s="51">
        <v>46000</v>
      </c>
      <c r="HL39" s="52">
        <v>243000</v>
      </c>
      <c r="HM39" s="52">
        <v>106000</v>
      </c>
      <c r="HN39" s="52">
        <v>106000</v>
      </c>
      <c r="HO39" s="52">
        <v>106000</v>
      </c>
      <c r="HP39" s="52">
        <v>303000</v>
      </c>
      <c r="HQ39" s="52">
        <v>303000</v>
      </c>
      <c r="HR39" s="52">
        <v>291000</v>
      </c>
      <c r="HS39" s="52">
        <v>291000</v>
      </c>
      <c r="HT39" s="52">
        <v>291000</v>
      </c>
      <c r="HU39" s="52">
        <v>150000</v>
      </c>
      <c r="HV39" s="52">
        <v>152400</v>
      </c>
      <c r="HW39" s="52">
        <v>162000</v>
      </c>
      <c r="HX39" s="52">
        <v>162000</v>
      </c>
      <c r="HY39" s="53">
        <v>115000</v>
      </c>
      <c r="HZ39" s="50">
        <v>115000</v>
      </c>
      <c r="IA39" s="50">
        <v>115000</v>
      </c>
      <c r="IB39" s="50">
        <v>115000</v>
      </c>
      <c r="IC39" s="50">
        <v>115000</v>
      </c>
      <c r="ID39" s="50">
        <v>115000</v>
      </c>
      <c r="IE39" s="50">
        <v>115000</v>
      </c>
      <c r="IF39" s="50">
        <v>115000</v>
      </c>
      <c r="IG39" s="50">
        <v>202000</v>
      </c>
      <c r="IH39" s="50">
        <v>202000</v>
      </c>
      <c r="II39" s="50">
        <v>189600</v>
      </c>
      <c r="IJ39" s="12">
        <v>159000</v>
      </c>
      <c r="IK39" s="147" t="s">
        <v>9</v>
      </c>
      <c r="IL39" s="12"/>
      <c r="IM39" s="12"/>
      <c r="IN39" s="12"/>
      <c r="IO39" s="12"/>
      <c r="IP39" s="12"/>
      <c r="IQ39" s="12"/>
      <c r="IR39" s="12"/>
      <c r="IS39" s="12"/>
      <c r="IT39" s="12"/>
      <c r="IU39" s="12"/>
      <c r="IV39" s="12"/>
      <c r="IW39" s="12"/>
      <c r="IX39" s="12"/>
      <c r="IY39" s="12"/>
      <c r="IZ39" s="12"/>
      <c r="JA39" s="12"/>
      <c r="JB39" s="12"/>
      <c r="JC39" s="12"/>
      <c r="JD39" s="12"/>
      <c r="JE39" s="12"/>
      <c r="JF39" s="12"/>
      <c r="JG39" s="12"/>
      <c r="JH39" s="12"/>
      <c r="JI39" s="12"/>
      <c r="JJ39" s="12"/>
      <c r="JK39" s="12"/>
      <c r="JL39" s="12"/>
      <c r="JM39" s="12"/>
      <c r="JN39" s="12"/>
      <c r="JO39" s="12"/>
      <c r="JP39" s="12"/>
      <c r="JQ39" s="12"/>
      <c r="JR39" s="12"/>
      <c r="JS39" s="12"/>
    </row>
    <row r="40" spans="1:279" ht="19.5" thickBot="1" x14ac:dyDescent="0.25">
      <c r="A40" s="12" t="s">
        <v>4</v>
      </c>
      <c r="B40" s="13">
        <f>SUM(C40:ZZ40)</f>
        <v>17156450</v>
      </c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/>
      <c r="AS40" s="12"/>
      <c r="AT40" s="12"/>
      <c r="AU40" s="12"/>
      <c r="AV40" s="12"/>
      <c r="AW40" s="12"/>
      <c r="AX40" s="12"/>
      <c r="AY40" s="12"/>
      <c r="AZ40" s="12"/>
      <c r="BA40" s="12"/>
      <c r="BB40" s="12"/>
      <c r="BC40" s="12"/>
      <c r="BD40" s="12"/>
      <c r="BE40" s="12"/>
      <c r="BF40" s="12"/>
      <c r="BG40" s="12"/>
      <c r="BH40" s="12"/>
      <c r="BI40" s="12"/>
      <c r="BJ40" s="12"/>
      <c r="BK40" s="12"/>
      <c r="BL40" s="12"/>
      <c r="BM40" s="12"/>
      <c r="BN40" s="12"/>
      <c r="BO40" s="12"/>
      <c r="BP40" s="12"/>
      <c r="BQ40" s="12"/>
      <c r="BR40" s="12"/>
      <c r="BS40" s="12"/>
      <c r="BT40" s="12"/>
      <c r="BU40" s="12"/>
      <c r="BV40" s="12"/>
      <c r="BW40" s="12"/>
      <c r="BX40" s="12"/>
      <c r="BY40" s="12"/>
      <c r="BZ40" s="12"/>
      <c r="CA40" s="12"/>
      <c r="CB40" s="12"/>
      <c r="CC40" s="12"/>
      <c r="CD40" s="12"/>
      <c r="CE40" s="12"/>
      <c r="CF40" s="12"/>
      <c r="CG40" s="12"/>
      <c r="CH40" s="12"/>
      <c r="CI40" s="12"/>
      <c r="CJ40" s="12"/>
      <c r="CK40" s="12"/>
      <c r="CL40" s="12"/>
      <c r="CM40" s="12"/>
      <c r="CN40" s="12"/>
      <c r="CO40" s="12"/>
      <c r="CP40" s="12"/>
      <c r="CQ40" s="12"/>
      <c r="CR40" s="12"/>
      <c r="CS40" s="12"/>
      <c r="CT40" s="12"/>
      <c r="CU40" s="12"/>
      <c r="CV40" s="12"/>
      <c r="CW40" s="12"/>
      <c r="CX40" s="12"/>
      <c r="CY40" s="12"/>
      <c r="CZ40" s="12"/>
      <c r="DA40" s="12"/>
      <c r="DB40" s="12"/>
      <c r="DC40" s="12"/>
      <c r="DD40" s="12"/>
      <c r="DE40" s="12"/>
      <c r="DF40" s="12"/>
      <c r="DG40" s="12"/>
      <c r="DH40" s="12"/>
      <c r="DI40" s="12"/>
      <c r="DJ40" s="12"/>
      <c r="DK40" s="12"/>
      <c r="DL40" s="12"/>
      <c r="DM40" s="12"/>
      <c r="DN40" s="12"/>
      <c r="DO40" s="12"/>
      <c r="DP40" s="12"/>
      <c r="DQ40" s="12"/>
      <c r="DR40" s="12"/>
      <c r="DS40" s="12"/>
      <c r="DT40" s="12"/>
      <c r="DU40" s="12"/>
      <c r="DV40" s="12"/>
      <c r="DW40" s="12"/>
      <c r="DX40" s="12"/>
      <c r="DY40" s="56">
        <v>57750</v>
      </c>
      <c r="DZ40" s="54">
        <v>74400</v>
      </c>
      <c r="EA40" s="54">
        <v>60300</v>
      </c>
      <c r="EB40" s="54">
        <v>68700</v>
      </c>
      <c r="EC40" s="54">
        <v>237750</v>
      </c>
      <c r="ED40" s="54"/>
      <c r="EE40" s="54"/>
      <c r="EF40" s="54">
        <v>217800</v>
      </c>
      <c r="EG40" s="54">
        <f>211800+503250</f>
        <v>715050</v>
      </c>
      <c r="EH40" s="54">
        <v>446250</v>
      </c>
      <c r="EI40" s="54"/>
      <c r="EJ40" s="54">
        <v>97800</v>
      </c>
      <c r="EK40" s="54">
        <f>190800+333300</f>
        <v>524100</v>
      </c>
      <c r="EL40" s="54">
        <v>206700</v>
      </c>
      <c r="EM40" s="54">
        <f>560000+135450</f>
        <v>695450</v>
      </c>
      <c r="EN40" s="57"/>
      <c r="EO40" s="54"/>
      <c r="EP40" s="54"/>
      <c r="EQ40" s="54">
        <v>36150</v>
      </c>
      <c r="ER40" s="54">
        <v>80700</v>
      </c>
      <c r="ES40" s="54">
        <v>90900</v>
      </c>
      <c r="ET40" s="54">
        <v>69450</v>
      </c>
      <c r="EU40" s="54">
        <v>499200</v>
      </c>
      <c r="EV40" s="54">
        <v>389400</v>
      </c>
      <c r="EW40" s="54">
        <f>63300+453300</f>
        <v>516600</v>
      </c>
      <c r="EX40" s="54">
        <v>68700</v>
      </c>
      <c r="EY40" s="54">
        <v>90450</v>
      </c>
      <c r="EZ40" s="54">
        <v>35400</v>
      </c>
      <c r="FA40" s="54">
        <v>477150</v>
      </c>
      <c r="FB40" s="54"/>
      <c r="FC40" s="54">
        <f>201150+365700</f>
        <v>566850</v>
      </c>
      <c r="FD40" s="54">
        <f>20550+96150</f>
        <v>116700</v>
      </c>
      <c r="FE40" s="54">
        <v>560000</v>
      </c>
      <c r="FF40" s="57"/>
      <c r="FG40" s="56"/>
      <c r="FH40" s="54"/>
      <c r="FI40" s="54">
        <v>72150</v>
      </c>
      <c r="FJ40" s="54">
        <v>72750</v>
      </c>
      <c r="FK40" s="54">
        <v>79800</v>
      </c>
      <c r="FL40" s="54">
        <v>66450</v>
      </c>
      <c r="FM40" s="54">
        <v>358950</v>
      </c>
      <c r="FN40" s="54">
        <v>479550</v>
      </c>
      <c r="FO40" s="54">
        <f>331950+291900</f>
        <v>623850</v>
      </c>
      <c r="FP40" s="54">
        <v>100350</v>
      </c>
      <c r="FQ40" s="54">
        <v>121050</v>
      </c>
      <c r="FR40" s="54"/>
      <c r="FS40" s="54">
        <v>223350</v>
      </c>
      <c r="FT40" s="54">
        <f>119100+271650</f>
        <v>390750</v>
      </c>
      <c r="FU40" s="54">
        <v>315600</v>
      </c>
      <c r="FV40" s="54">
        <v>41400</v>
      </c>
      <c r="FW40" s="54">
        <f>560000+27600+292950</f>
        <v>880550</v>
      </c>
      <c r="FX40" s="54"/>
      <c r="FY40" s="57"/>
      <c r="FZ40" s="12"/>
      <c r="GA40" s="56">
        <v>78450</v>
      </c>
      <c r="GB40" s="54">
        <v>119550</v>
      </c>
      <c r="GC40" s="54">
        <v>47850</v>
      </c>
      <c r="GD40" s="54"/>
      <c r="GE40" s="54">
        <v>411000</v>
      </c>
      <c r="GF40" s="54">
        <v>66000</v>
      </c>
      <c r="GG40" s="54">
        <v>98400</v>
      </c>
      <c r="GH40" s="54">
        <v>333000</v>
      </c>
      <c r="GI40" s="54">
        <v>21450</v>
      </c>
      <c r="GJ40" s="54">
        <v>25200</v>
      </c>
      <c r="GK40" s="54">
        <v>7650</v>
      </c>
      <c r="GL40" s="54">
        <v>222600</v>
      </c>
      <c r="GM40" s="54">
        <v>150</v>
      </c>
      <c r="GN40" s="54">
        <v>429000</v>
      </c>
      <c r="GO40" s="54">
        <v>560000</v>
      </c>
      <c r="GP40" s="54"/>
      <c r="GQ40" s="57"/>
      <c r="GR40" s="49"/>
      <c r="GS40" s="49"/>
      <c r="GT40" s="49"/>
      <c r="GU40" s="59">
        <v>8700</v>
      </c>
      <c r="GV40" s="60">
        <v>8700</v>
      </c>
      <c r="GW40" s="60">
        <v>46000</v>
      </c>
      <c r="GX40" s="60">
        <v>1350</v>
      </c>
      <c r="GY40" s="60">
        <v>12300</v>
      </c>
      <c r="GZ40" s="60">
        <v>24600</v>
      </c>
      <c r="HA40" s="60">
        <v>17850</v>
      </c>
      <c r="HB40" s="60">
        <v>12750</v>
      </c>
      <c r="HC40" s="60">
        <v>10350</v>
      </c>
      <c r="HD40" s="60">
        <f>3750+31650</f>
        <v>35400</v>
      </c>
      <c r="HE40" s="60">
        <v>6900</v>
      </c>
      <c r="HF40" s="60">
        <f>33150+17700</f>
        <v>50850</v>
      </c>
      <c r="HG40" s="60">
        <f>38700+3300</f>
        <v>42000</v>
      </c>
      <c r="HH40" s="60"/>
      <c r="HI40" s="49"/>
      <c r="HJ40" s="49"/>
      <c r="HK40" s="74">
        <v>27000</v>
      </c>
      <c r="HL40" s="64">
        <v>61200</v>
      </c>
      <c r="HM40" s="64">
        <v>154950</v>
      </c>
      <c r="HN40" s="64">
        <v>44850</v>
      </c>
      <c r="HO40" s="64">
        <v>491400</v>
      </c>
      <c r="HP40" s="64"/>
      <c r="HQ40" s="64">
        <f>178800+150000</f>
        <v>328800</v>
      </c>
      <c r="HR40" s="64">
        <v>131850</v>
      </c>
      <c r="HS40" s="64"/>
      <c r="HT40" s="64">
        <v>152850</v>
      </c>
      <c r="HU40" s="64">
        <v>290700</v>
      </c>
      <c r="HV40" s="64">
        <v>156450</v>
      </c>
      <c r="HW40" s="64"/>
      <c r="HX40" s="64">
        <v>560000</v>
      </c>
      <c r="HY40" s="65"/>
      <c r="HZ40" s="50"/>
      <c r="IA40" s="50"/>
      <c r="IB40" s="50"/>
      <c r="IC40" s="50">
        <v>46500</v>
      </c>
      <c r="ID40" s="50">
        <v>56700</v>
      </c>
      <c r="IE40" s="50"/>
      <c r="IF40" s="50">
        <v>29850</v>
      </c>
      <c r="IG40" s="50">
        <v>514200</v>
      </c>
      <c r="IH40" s="50">
        <v>199200</v>
      </c>
      <c r="II40" s="50"/>
      <c r="IJ40" s="12">
        <v>385650</v>
      </c>
      <c r="IK40" s="147"/>
      <c r="IL40" s="12"/>
      <c r="IM40" s="12"/>
      <c r="IN40" s="12"/>
      <c r="IO40" s="12"/>
      <c r="IP40" s="12"/>
      <c r="IQ40" s="12"/>
      <c r="IR40" s="12"/>
      <c r="IS40" s="12"/>
      <c r="IT40" s="12"/>
      <c r="IU40" s="12"/>
      <c r="IV40" s="12"/>
      <c r="IW40" s="12"/>
      <c r="IX40" s="12"/>
      <c r="IY40" s="12"/>
      <c r="IZ40" s="12"/>
      <c r="JA40" s="12"/>
      <c r="JB40" s="12"/>
      <c r="JC40" s="12"/>
      <c r="JD40" s="12"/>
      <c r="JE40" s="12"/>
      <c r="JF40" s="12"/>
      <c r="JG40" s="12"/>
      <c r="JH40" s="12"/>
      <c r="JI40" s="12"/>
      <c r="JJ40" s="12"/>
      <c r="JK40" s="12"/>
      <c r="JL40" s="12"/>
      <c r="JM40" s="12"/>
      <c r="JN40" s="12"/>
      <c r="JO40" s="12"/>
      <c r="JP40" s="12"/>
      <c r="JQ40" s="12"/>
      <c r="JR40" s="12"/>
      <c r="JS40" s="12"/>
    </row>
    <row r="41" spans="1:279" ht="18.75" x14ac:dyDescent="0.25">
      <c r="A41" s="12" t="s">
        <v>6</v>
      </c>
      <c r="B41" s="31">
        <f>B40-B39</f>
        <v>2585450</v>
      </c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  <c r="AO41" s="41"/>
      <c r="AP41" s="12"/>
      <c r="AQ41" s="12"/>
      <c r="AR41" s="12"/>
      <c r="AS41" s="12"/>
      <c r="AT41" s="12"/>
      <c r="AU41" s="12"/>
      <c r="AV41" s="12"/>
      <c r="AW41" s="12"/>
      <c r="AX41" s="12"/>
      <c r="AY41" s="12"/>
      <c r="AZ41" s="12"/>
      <c r="BA41" s="12"/>
      <c r="BB41" s="12"/>
      <c r="BC41" s="12"/>
      <c r="BD41" s="70"/>
      <c r="BE41" s="12"/>
      <c r="BF41" s="12"/>
      <c r="BU41" s="12"/>
      <c r="BV41" s="70"/>
      <c r="CK41" s="12"/>
      <c r="CL41" s="70"/>
      <c r="DE41" s="12"/>
      <c r="DF41" s="70"/>
      <c r="EM41" s="66" t="s">
        <v>7</v>
      </c>
      <c r="EN41" s="67">
        <f>SUM(DY40:EN40)-SUM(DY39:EN39)</f>
        <v>1661050</v>
      </c>
      <c r="FE41" s="66" t="s">
        <v>7</v>
      </c>
      <c r="FF41" s="67">
        <f>SUM(EO40:FF40)-SUM(EO39:FF39)</f>
        <v>1768650</v>
      </c>
      <c r="FW41" s="66" t="s">
        <v>7</v>
      </c>
      <c r="FX41" s="67">
        <f>SUM(FG40:FY40)-SUM(FG39:FY39)</f>
        <v>1364550</v>
      </c>
      <c r="GO41" s="66" t="s">
        <v>7</v>
      </c>
      <c r="GP41" s="67">
        <f>SUM(GA40:GQ40)-SUM(GA39:GQ39)</f>
        <v>-983700</v>
      </c>
      <c r="GR41" s="7"/>
      <c r="GS41" s="7"/>
      <c r="GT41" s="7"/>
      <c r="GU41" s="7"/>
      <c r="GV41" s="7"/>
      <c r="GW41" s="7"/>
      <c r="GX41" s="7"/>
      <c r="GY41" s="7"/>
      <c r="GZ41" s="7"/>
      <c r="HA41" s="7"/>
      <c r="HB41" s="7"/>
      <c r="HC41" s="7"/>
      <c r="HD41" s="7"/>
      <c r="HE41" s="7"/>
      <c r="HF41" s="7"/>
      <c r="HG41" s="7"/>
      <c r="HH41" s="7"/>
      <c r="HI41" s="32" t="s">
        <v>48</v>
      </c>
      <c r="HJ41" s="33">
        <f>SUM(GU40:HJ40)-SUM(GU39:HJ39)</f>
        <v>-472250</v>
      </c>
      <c r="HK41" s="8"/>
      <c r="HL41" s="8"/>
      <c r="HM41" s="8"/>
      <c r="HN41" s="8"/>
      <c r="HO41" s="8"/>
      <c r="HP41" s="8"/>
      <c r="HQ41" s="8"/>
      <c r="HR41" s="8"/>
      <c r="HS41" s="8"/>
      <c r="HT41" s="8"/>
      <c r="HU41" s="8"/>
      <c r="HV41" s="8"/>
      <c r="HW41" s="8"/>
      <c r="HX41" s="8"/>
      <c r="HY41" s="34" t="s">
        <v>7</v>
      </c>
      <c r="HZ41" s="35">
        <f>SUM(HK40:HY40)-SUM(HK39:HY39)</f>
        <v>-427350</v>
      </c>
      <c r="IA41" s="8"/>
      <c r="IB41" s="8"/>
      <c r="IC41" s="8"/>
      <c r="ID41" s="8"/>
      <c r="IE41" s="8"/>
      <c r="IF41" s="8"/>
      <c r="IG41" s="8"/>
      <c r="IH41" s="8"/>
      <c r="II41" s="8"/>
      <c r="IK41" s="148" t="s">
        <v>85</v>
      </c>
    </row>
    <row r="42" spans="1:279" ht="19.5" thickBot="1" x14ac:dyDescent="0.3">
      <c r="A42" s="12"/>
      <c r="B42" s="36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12"/>
      <c r="AN42" s="12"/>
      <c r="AO42" s="41"/>
      <c r="AP42" s="12"/>
      <c r="AQ42" s="12"/>
      <c r="AR42" s="12"/>
      <c r="AS42" s="12"/>
      <c r="AT42" s="12"/>
      <c r="AU42" s="12"/>
      <c r="AV42" s="12"/>
      <c r="AW42" s="12"/>
      <c r="AX42" s="12"/>
      <c r="AY42" s="12"/>
      <c r="AZ42" s="12"/>
      <c r="BA42" s="12"/>
      <c r="BB42" s="12"/>
      <c r="BC42" s="12"/>
      <c r="BD42" s="70"/>
      <c r="BE42" s="12"/>
      <c r="BF42" s="12"/>
      <c r="BU42" s="12"/>
      <c r="BV42" s="70"/>
      <c r="CK42" s="12"/>
      <c r="CL42" s="70"/>
      <c r="DE42" s="12"/>
      <c r="DF42" s="70"/>
      <c r="EM42" s="12"/>
      <c r="EN42" s="70">
        <f>SUM(DY40:EN40)/SUM(DY39:EN39)</f>
        <v>1.9540781160252729</v>
      </c>
      <c r="FE42" s="12"/>
      <c r="FF42" s="70">
        <f>SUM(EO40:FF40)/SUM(EO39:FF39)</f>
        <v>1.9670038272279935</v>
      </c>
      <c r="FW42" s="12"/>
      <c r="FX42" s="70">
        <f>SUM(FG40:FY40)/SUM(FG39:FY39)</f>
        <v>1.5542445166531276</v>
      </c>
      <c r="GO42" s="12"/>
      <c r="GP42" s="70">
        <f>SUM(GA40:GQ40)/SUM(GA39:GQ39)</f>
        <v>0.71101645123384249</v>
      </c>
      <c r="GR42" s="7"/>
      <c r="GS42" s="7"/>
      <c r="GT42" s="7"/>
      <c r="GU42" s="7"/>
      <c r="GV42" s="7"/>
      <c r="GW42" s="7"/>
      <c r="GX42" s="7"/>
      <c r="GY42" s="7"/>
      <c r="GZ42" s="7"/>
      <c r="HA42" s="7"/>
      <c r="HB42" s="7"/>
      <c r="HC42" s="7"/>
      <c r="HD42" s="7"/>
      <c r="HE42" s="7"/>
      <c r="HF42" s="7"/>
      <c r="HG42" s="7"/>
      <c r="HH42" s="7"/>
      <c r="HI42" s="37"/>
      <c r="HJ42" s="38">
        <f>SUM(GU40:HJ40)/SUM(GU39:HJ39)</f>
        <v>0.37033333333333335</v>
      </c>
      <c r="HK42" s="8"/>
      <c r="HL42" s="8"/>
      <c r="HM42" s="8"/>
      <c r="HN42" s="8"/>
      <c r="HO42" s="8"/>
      <c r="HP42" s="8"/>
      <c r="HQ42" s="8"/>
      <c r="HR42" s="8"/>
      <c r="HS42" s="8"/>
      <c r="HT42" s="8"/>
      <c r="HU42" s="8"/>
      <c r="HV42" s="8"/>
      <c r="HW42" s="8"/>
      <c r="HX42" s="8"/>
      <c r="HY42" s="39"/>
      <c r="HZ42" s="40">
        <f>SUM(HK40:HY40)/SUM(HK39:HY39)</f>
        <v>0.84885407087783826</v>
      </c>
      <c r="IA42" s="8"/>
      <c r="IB42" s="8"/>
      <c r="IC42" s="8"/>
      <c r="ID42" s="8"/>
      <c r="IE42" s="8"/>
      <c r="IF42" s="8"/>
      <c r="IG42" s="8"/>
      <c r="IH42" s="8"/>
      <c r="II42" s="8"/>
      <c r="IK42" s="148" t="s">
        <v>9</v>
      </c>
    </row>
    <row r="43" spans="1:279" ht="18.75" x14ac:dyDescent="0.25">
      <c r="A43" s="108" t="s">
        <v>49</v>
      </c>
      <c r="B43" s="109">
        <f>B45/B44</f>
        <v>0.72466124661246611</v>
      </c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/>
      <c r="AN43" s="12"/>
      <c r="AO43" s="41"/>
      <c r="AP43" s="12"/>
      <c r="AQ43" s="12"/>
      <c r="AR43" s="12"/>
      <c r="AS43" s="12"/>
      <c r="AT43" s="12"/>
      <c r="AU43" s="12"/>
      <c r="AV43" s="12"/>
      <c r="AW43" s="12"/>
      <c r="AX43" s="12"/>
      <c r="AY43" s="12"/>
      <c r="AZ43" s="12"/>
      <c r="BA43" s="12"/>
      <c r="BB43" s="12"/>
      <c r="BC43" s="12"/>
      <c r="BD43" s="12"/>
      <c r="BE43" s="12"/>
      <c r="BF43" s="12"/>
      <c r="GR43" s="7"/>
      <c r="GS43" s="7"/>
      <c r="GT43" s="7"/>
      <c r="GU43" s="7"/>
      <c r="GV43" s="7"/>
      <c r="GW43" s="7"/>
      <c r="GX43" s="7"/>
      <c r="GY43" s="7"/>
      <c r="GZ43" s="7"/>
      <c r="HA43" s="7"/>
      <c r="HB43" s="7"/>
      <c r="HC43" s="7"/>
      <c r="HD43" s="7"/>
      <c r="HE43" s="7"/>
      <c r="HF43" s="7"/>
      <c r="HG43" s="7"/>
      <c r="HH43" s="7"/>
      <c r="HI43" s="7"/>
      <c r="HJ43" s="8"/>
      <c r="HK43" s="8"/>
      <c r="HL43" s="8"/>
      <c r="HM43" s="8"/>
      <c r="HN43" s="8"/>
      <c r="HO43" s="8"/>
      <c r="HP43" s="8"/>
      <c r="HQ43" s="8"/>
      <c r="HR43" s="8"/>
      <c r="HS43" s="8"/>
      <c r="HT43" s="8"/>
      <c r="HU43" s="8"/>
      <c r="HV43" s="8"/>
      <c r="HW43" s="8"/>
      <c r="HX43" s="8"/>
      <c r="HY43" s="8"/>
      <c r="HZ43" s="8"/>
      <c r="IA43" s="8"/>
      <c r="IB43" s="8"/>
      <c r="IC43" s="8"/>
      <c r="ID43" s="8"/>
      <c r="IE43" s="8"/>
      <c r="IF43" s="8"/>
      <c r="IG43" s="8"/>
      <c r="IH43" s="8"/>
      <c r="II43" s="8"/>
      <c r="IK43" s="148"/>
    </row>
    <row r="44" spans="1:279" s="12" customFormat="1" ht="18.75" x14ac:dyDescent="0.2">
      <c r="A44" s="110" t="s">
        <v>2</v>
      </c>
      <c r="B44" s="111">
        <f>SUM(C44:ZZ44)</f>
        <v>1845000</v>
      </c>
      <c r="E44" s="44"/>
      <c r="F44" s="42">
        <v>45000</v>
      </c>
      <c r="G44" s="42">
        <v>45000</v>
      </c>
      <c r="H44" s="42">
        <v>45000</v>
      </c>
      <c r="I44" s="42">
        <v>45000</v>
      </c>
      <c r="J44" s="42">
        <v>43000</v>
      </c>
      <c r="K44" s="42">
        <v>35000</v>
      </c>
      <c r="L44" s="42">
        <v>35000</v>
      </c>
      <c r="M44" s="42">
        <v>35000</v>
      </c>
      <c r="N44" s="42">
        <v>35000</v>
      </c>
      <c r="O44" s="42">
        <v>32000</v>
      </c>
      <c r="P44" s="42">
        <v>32000</v>
      </c>
      <c r="Q44" s="42">
        <v>32000</v>
      </c>
      <c r="R44" s="43">
        <v>32000</v>
      </c>
      <c r="S44" s="44">
        <v>32000</v>
      </c>
      <c r="T44" s="42">
        <v>32000</v>
      </c>
      <c r="U44" s="42">
        <v>32000</v>
      </c>
      <c r="V44" s="42">
        <v>32000</v>
      </c>
      <c r="W44" s="42">
        <v>32000</v>
      </c>
      <c r="X44" s="42">
        <v>32000</v>
      </c>
      <c r="Y44" s="42">
        <v>28000</v>
      </c>
      <c r="Z44" s="42">
        <v>28000</v>
      </c>
      <c r="AA44" s="42">
        <v>28000</v>
      </c>
      <c r="AB44" s="42">
        <v>28000</v>
      </c>
      <c r="AC44" s="42">
        <v>28000</v>
      </c>
      <c r="AD44" s="42">
        <v>28000</v>
      </c>
      <c r="AE44" s="42">
        <v>28000</v>
      </c>
      <c r="AF44" s="42">
        <v>28000</v>
      </c>
      <c r="AG44" s="42"/>
      <c r="AH44" s="81">
        <v>28000</v>
      </c>
      <c r="AM44" s="44">
        <v>28000</v>
      </c>
      <c r="AN44" s="42"/>
      <c r="AO44" s="45">
        <v>28000</v>
      </c>
      <c r="AP44" s="42">
        <v>49000</v>
      </c>
      <c r="AQ44" s="42">
        <v>49000</v>
      </c>
      <c r="AR44" s="42">
        <v>42000</v>
      </c>
      <c r="AS44" s="42">
        <v>42000</v>
      </c>
      <c r="AT44" s="42">
        <v>42000</v>
      </c>
      <c r="AU44" s="42">
        <v>42000</v>
      </c>
      <c r="AV44" s="42">
        <v>42000</v>
      </c>
      <c r="AW44" s="42">
        <v>42000</v>
      </c>
      <c r="AX44" s="42">
        <v>42000</v>
      </c>
      <c r="AY44" s="42">
        <v>42000</v>
      </c>
      <c r="AZ44" s="43">
        <v>42000</v>
      </c>
      <c r="CD44" s="44">
        <v>42000</v>
      </c>
      <c r="CE44" s="42"/>
      <c r="CF44" s="42">
        <v>42000</v>
      </c>
      <c r="CG44" s="42">
        <v>42000</v>
      </c>
      <c r="CH44" s="42">
        <v>42000</v>
      </c>
      <c r="CI44" s="42">
        <v>42000</v>
      </c>
      <c r="CJ44" s="42"/>
      <c r="CK44" s="42"/>
      <c r="CL44" s="42"/>
      <c r="CM44" s="42">
        <v>42000</v>
      </c>
      <c r="CN44" s="42">
        <v>42000</v>
      </c>
      <c r="CO44" s="42"/>
      <c r="CP44" s="42">
        <v>42000</v>
      </c>
      <c r="CQ44" s="42">
        <v>42000</v>
      </c>
      <c r="CR44" s="43"/>
      <c r="GR44" s="49"/>
      <c r="GS44" s="49"/>
      <c r="GT44" s="49"/>
      <c r="GU44" s="49"/>
      <c r="GV44" s="49"/>
      <c r="GW44" s="49"/>
      <c r="GX44" s="49"/>
      <c r="GY44" s="49"/>
      <c r="GZ44" s="49"/>
      <c r="HA44" s="49"/>
      <c r="HB44" s="49"/>
      <c r="HC44" s="49"/>
      <c r="HD44" s="49"/>
      <c r="HE44" s="49"/>
      <c r="HF44" s="49"/>
      <c r="HG44" s="49"/>
      <c r="HH44" s="49"/>
      <c r="HI44" s="49"/>
      <c r="HJ44" s="50"/>
      <c r="HK44" s="50"/>
      <c r="HL44" s="50"/>
      <c r="HM44" s="50"/>
      <c r="HN44" s="50"/>
      <c r="HO44" s="50"/>
      <c r="HP44" s="50"/>
      <c r="HQ44" s="50"/>
      <c r="HR44" s="50"/>
      <c r="HS44" s="50"/>
      <c r="HT44" s="50"/>
      <c r="HU44" s="50"/>
      <c r="HV44" s="50"/>
      <c r="HW44" s="50"/>
      <c r="HX44" s="50"/>
      <c r="HY44" s="50"/>
      <c r="HZ44" s="50"/>
      <c r="IA44" s="50"/>
      <c r="IB44" s="50"/>
      <c r="IC44" s="50"/>
      <c r="ID44" s="50"/>
      <c r="IE44" s="50"/>
      <c r="IF44" s="50"/>
      <c r="IG44" s="50"/>
      <c r="IH44" s="50"/>
      <c r="II44" s="50"/>
      <c r="IK44" s="147" t="s">
        <v>82</v>
      </c>
    </row>
    <row r="45" spans="1:279" s="12" customFormat="1" ht="18.75" x14ac:dyDescent="0.2">
      <c r="A45" s="110" t="s">
        <v>4</v>
      </c>
      <c r="B45" s="111">
        <f>SUM(C45:ZZ45)</f>
        <v>1337000</v>
      </c>
      <c r="E45" s="56">
        <v>13500</v>
      </c>
      <c r="F45" s="54">
        <v>6600</v>
      </c>
      <c r="G45" s="54">
        <v>5700</v>
      </c>
      <c r="H45" s="54"/>
      <c r="I45" s="54"/>
      <c r="J45" s="54">
        <v>9900</v>
      </c>
      <c r="K45" s="54"/>
      <c r="L45" s="54">
        <f>27150+17400</f>
        <v>44550</v>
      </c>
      <c r="M45" s="54">
        <v>4800</v>
      </c>
      <c r="N45" s="54">
        <v>6000</v>
      </c>
      <c r="O45" s="54">
        <v>16350</v>
      </c>
      <c r="P45" s="54">
        <v>1950</v>
      </c>
      <c r="Q45" s="54">
        <f>19050+19500+149000</f>
        <v>187550</v>
      </c>
      <c r="R45" s="57">
        <v>1650</v>
      </c>
      <c r="S45" s="56">
        <v>7500</v>
      </c>
      <c r="T45" s="54">
        <v>6900</v>
      </c>
      <c r="U45" s="54">
        <f>3900+5250</f>
        <v>9150</v>
      </c>
      <c r="V45" s="54">
        <v>3750</v>
      </c>
      <c r="W45" s="54"/>
      <c r="X45" s="54"/>
      <c r="Y45" s="54"/>
      <c r="Z45" s="54">
        <v>15900</v>
      </c>
      <c r="AA45" s="54">
        <f>13500+61950</f>
        <v>75450</v>
      </c>
      <c r="AB45" s="54">
        <v>30150</v>
      </c>
      <c r="AC45" s="54"/>
      <c r="AD45" s="54">
        <v>1650</v>
      </c>
      <c r="AE45" s="54"/>
      <c r="AF45" s="54">
        <f>35700+138000</f>
        <v>173700</v>
      </c>
      <c r="AG45" s="54"/>
      <c r="AH45" s="57"/>
      <c r="AM45" s="56"/>
      <c r="AN45" s="54"/>
      <c r="AO45" s="58">
        <v>35100</v>
      </c>
      <c r="AP45" s="54"/>
      <c r="AQ45" s="54">
        <v>42750</v>
      </c>
      <c r="AR45" s="54">
        <v>1650</v>
      </c>
      <c r="AS45" s="54">
        <v>48300</v>
      </c>
      <c r="AT45" s="54">
        <f>35850+70950</f>
        <v>106800</v>
      </c>
      <c r="AU45" s="54">
        <v>16650</v>
      </c>
      <c r="AV45" s="54">
        <v>48450</v>
      </c>
      <c r="AW45" s="54">
        <f>7650+102600</f>
        <v>110250</v>
      </c>
      <c r="AX45" s="54">
        <v>1500</v>
      </c>
      <c r="AY45" s="54">
        <f>138000+5850</f>
        <v>143850</v>
      </c>
      <c r="AZ45" s="57">
        <v>150000</v>
      </c>
      <c r="CD45" s="56">
        <v>450</v>
      </c>
      <c r="CE45" s="54"/>
      <c r="CF45" s="54">
        <v>1050</v>
      </c>
      <c r="CG45" s="54">
        <v>3300</v>
      </c>
      <c r="CH45" s="54"/>
      <c r="CI45" s="54"/>
      <c r="CJ45" s="54"/>
      <c r="CK45" s="54"/>
      <c r="CL45" s="54"/>
      <c r="CM45" s="54"/>
      <c r="CN45" s="54">
        <v>4200</v>
      </c>
      <c r="CO45" s="54"/>
      <c r="CP45" s="54"/>
      <c r="CQ45" s="54"/>
      <c r="CR45" s="57"/>
      <c r="GR45" s="49"/>
      <c r="GS45" s="49"/>
      <c r="GT45" s="49"/>
      <c r="GU45" s="49"/>
      <c r="GV45" s="49"/>
      <c r="GW45" s="49"/>
      <c r="GX45" s="49"/>
      <c r="GY45" s="49"/>
      <c r="GZ45" s="49"/>
      <c r="HA45" s="49"/>
      <c r="HB45" s="49"/>
      <c r="HC45" s="49"/>
      <c r="HD45" s="49"/>
      <c r="HE45" s="49"/>
      <c r="HF45" s="49"/>
      <c r="HG45" s="49"/>
      <c r="HH45" s="49"/>
      <c r="HI45" s="49"/>
      <c r="HJ45" s="50"/>
      <c r="HK45" s="50"/>
      <c r="HL45" s="50"/>
      <c r="HM45" s="50"/>
      <c r="HN45" s="50"/>
      <c r="HO45" s="50"/>
      <c r="HP45" s="50"/>
      <c r="HQ45" s="50"/>
      <c r="HR45" s="50"/>
      <c r="HS45" s="50"/>
      <c r="HT45" s="50"/>
      <c r="HU45" s="50"/>
      <c r="HV45" s="50"/>
      <c r="HW45" s="50"/>
      <c r="HX45" s="50"/>
      <c r="HY45" s="50"/>
      <c r="HZ45" s="50"/>
      <c r="IA45" s="50"/>
      <c r="IB45" s="50"/>
      <c r="IC45" s="50"/>
      <c r="ID45" s="50"/>
      <c r="IE45" s="50"/>
      <c r="IF45" s="50"/>
      <c r="IG45" s="50"/>
      <c r="IH45" s="50"/>
      <c r="II45" s="50"/>
      <c r="IK45" s="149" t="s">
        <v>88</v>
      </c>
    </row>
    <row r="46" spans="1:279" s="12" customFormat="1" ht="18.75" x14ac:dyDescent="0.2">
      <c r="A46" s="110" t="s">
        <v>6</v>
      </c>
      <c r="B46" s="112">
        <f>B45-B44</f>
        <v>-508000</v>
      </c>
      <c r="Q46" s="66" t="s">
        <v>35</v>
      </c>
      <c r="R46" s="67">
        <f>SUM(C45:R45)-SUM(C44:R44)</f>
        <v>-192450</v>
      </c>
      <c r="AF46" s="66" t="s">
        <v>15</v>
      </c>
      <c r="AG46" s="67">
        <f>SUM(R45:AG45)-SUM(R44:AH44)</f>
        <v>-150200</v>
      </c>
      <c r="AO46" s="41"/>
      <c r="AY46" s="66" t="s">
        <v>50</v>
      </c>
      <c r="AZ46" s="67">
        <f>SUM(AM45:AZ45)-SUM(AM44:AZ44)</f>
        <v>173300</v>
      </c>
      <c r="CQ46" s="66" t="s">
        <v>51</v>
      </c>
      <c r="CR46" s="67">
        <f>SUM(CD45:CR45)-SUM(CD44:CR44)</f>
        <v>-369000</v>
      </c>
      <c r="GR46" s="49"/>
      <c r="GS46" s="49"/>
      <c r="GT46" s="49"/>
      <c r="GU46" s="49"/>
      <c r="GV46" s="49"/>
      <c r="GW46" s="49"/>
      <c r="GX46" s="49"/>
      <c r="GY46" s="49"/>
      <c r="GZ46" s="49"/>
      <c r="HA46" s="49"/>
      <c r="HB46" s="49"/>
      <c r="HC46" s="49"/>
      <c r="HD46" s="49"/>
      <c r="HE46" s="49"/>
      <c r="HF46" s="49"/>
      <c r="HG46" s="49"/>
      <c r="HH46" s="49"/>
      <c r="HI46" s="49"/>
      <c r="HJ46" s="50"/>
      <c r="HK46" s="50"/>
      <c r="HL46" s="50"/>
      <c r="HM46" s="50"/>
      <c r="HN46" s="50"/>
      <c r="HO46" s="50"/>
      <c r="HP46" s="50"/>
      <c r="HQ46" s="50"/>
      <c r="HR46" s="50"/>
      <c r="HS46" s="50"/>
      <c r="HT46" s="50"/>
      <c r="HU46" s="50"/>
      <c r="HV46" s="50"/>
      <c r="HW46" s="50"/>
      <c r="HX46" s="50"/>
      <c r="HY46" s="50"/>
      <c r="HZ46" s="50"/>
      <c r="IA46" s="50"/>
      <c r="IB46" s="50"/>
      <c r="IC46" s="50"/>
      <c r="ID46" s="50"/>
      <c r="IE46" s="50"/>
      <c r="IF46" s="50"/>
      <c r="IG46" s="50"/>
      <c r="IH46" s="50"/>
      <c r="II46" s="50"/>
      <c r="IK46" s="147" t="s">
        <v>11</v>
      </c>
    </row>
    <row r="47" spans="1:279" ht="18.75" x14ac:dyDescent="0.2">
      <c r="A47" s="88"/>
      <c r="B47" s="36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70">
        <f>SUM(C45:R45)/SUM(C44:R44)</f>
        <v>0.60804480651731163</v>
      </c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70">
        <f>SUM(R45:AG45)/SUM(R44:AH44)</f>
        <v>0.68445378151260505</v>
      </c>
      <c r="AH47" s="12"/>
      <c r="AI47" s="12"/>
      <c r="AJ47" s="12"/>
      <c r="AK47" s="12"/>
      <c r="AL47" s="12"/>
      <c r="AM47" s="12"/>
      <c r="AN47" s="12"/>
      <c r="AO47" s="41"/>
      <c r="AP47" s="12"/>
      <c r="AQ47" s="12"/>
      <c r="AR47" s="12"/>
      <c r="AS47" s="12"/>
      <c r="AT47" s="12"/>
      <c r="AU47" s="12"/>
      <c r="AV47" s="12"/>
      <c r="AW47" s="12"/>
      <c r="AX47" s="12"/>
      <c r="AY47" s="12"/>
      <c r="AZ47" s="70">
        <f>SUM(AM45:AZ45)/SUM(AM44:AZ44)</f>
        <v>1.325751879699248</v>
      </c>
      <c r="BA47" s="12"/>
      <c r="BB47" s="12"/>
      <c r="BC47" s="12"/>
      <c r="BD47" s="12"/>
      <c r="BE47" s="12"/>
      <c r="BF47" s="12"/>
      <c r="CQ47" s="12"/>
      <c r="CR47" s="70">
        <f>SUM(CD45:CR45)/SUM(CD44:CR44)</f>
        <v>2.3809523809523808E-2</v>
      </c>
      <c r="GR47" s="7"/>
      <c r="GS47" s="7"/>
      <c r="GT47" s="7"/>
      <c r="GU47" s="7"/>
      <c r="GV47" s="7"/>
      <c r="GW47" s="7"/>
      <c r="GX47" s="7"/>
      <c r="GY47" s="7"/>
      <c r="GZ47" s="7"/>
      <c r="HA47" s="7"/>
      <c r="HB47" s="7"/>
      <c r="HC47" s="7"/>
      <c r="HD47" s="7"/>
      <c r="HE47" s="7"/>
      <c r="HF47" s="7"/>
      <c r="HG47" s="7"/>
      <c r="HH47" s="7"/>
      <c r="HI47" s="7"/>
      <c r="HJ47" s="8"/>
      <c r="HK47" s="8"/>
      <c r="HL47" s="8"/>
      <c r="HM47" s="8"/>
      <c r="HN47" s="8"/>
      <c r="HO47" s="8"/>
      <c r="HP47" s="8"/>
      <c r="HQ47" s="8"/>
      <c r="HR47" s="8"/>
      <c r="HS47" s="8"/>
      <c r="HT47" s="8"/>
      <c r="HU47" s="8"/>
      <c r="HV47" s="8"/>
      <c r="HW47" s="8"/>
      <c r="HX47" s="8"/>
      <c r="HY47" s="8"/>
      <c r="HZ47" s="8"/>
      <c r="IA47" s="8"/>
      <c r="IB47" s="8"/>
      <c r="IC47" s="8"/>
      <c r="ID47" s="8"/>
      <c r="IE47" s="8"/>
      <c r="IF47" s="8"/>
      <c r="IG47" s="8"/>
      <c r="IH47" s="8"/>
      <c r="II47" s="8"/>
      <c r="IK47" s="148" t="s">
        <v>26</v>
      </c>
    </row>
    <row r="48" spans="1:279" ht="18.75" x14ac:dyDescent="0.25">
      <c r="A48" s="9" t="s">
        <v>52</v>
      </c>
      <c r="B48" s="10">
        <f>B50/B49</f>
        <v>0.62032348392274983</v>
      </c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41"/>
      <c r="AP48" s="12"/>
      <c r="AQ48" s="12"/>
      <c r="AR48" s="12"/>
      <c r="AS48" s="12"/>
      <c r="AT48" s="12"/>
      <c r="AU48" s="12"/>
      <c r="AV48" s="12"/>
      <c r="AW48" s="12"/>
      <c r="AX48" s="12"/>
      <c r="AY48" s="12"/>
      <c r="AZ48" s="12"/>
      <c r="BA48" s="12"/>
      <c r="BB48" s="12"/>
      <c r="BC48" s="12"/>
      <c r="BD48" s="12"/>
      <c r="BE48" s="12"/>
      <c r="BF48" s="12"/>
      <c r="GR48" s="7"/>
      <c r="GS48" s="7"/>
      <c r="GT48" s="7"/>
      <c r="GU48" s="7"/>
      <c r="GV48" s="7"/>
      <c r="GW48" s="7"/>
      <c r="GX48" s="7"/>
      <c r="GY48" s="7"/>
      <c r="GZ48" s="7"/>
      <c r="HA48" s="7"/>
      <c r="HB48" s="7"/>
      <c r="HC48" s="7"/>
      <c r="HD48" s="7"/>
      <c r="HE48" s="7"/>
      <c r="HF48" s="7"/>
      <c r="HG48" s="7"/>
      <c r="HH48" s="7"/>
      <c r="HI48" s="7"/>
      <c r="HJ48" s="8"/>
      <c r="HK48" s="8"/>
      <c r="HL48" s="8"/>
      <c r="HM48" s="8"/>
      <c r="HN48" s="8"/>
      <c r="HO48" s="8"/>
      <c r="HP48" s="8"/>
      <c r="HQ48" s="8"/>
      <c r="HR48" s="8"/>
      <c r="HS48" s="8"/>
      <c r="HT48" s="8"/>
      <c r="HU48" s="8"/>
      <c r="HV48" s="8"/>
      <c r="HW48" s="8"/>
      <c r="HX48" s="8"/>
      <c r="HY48" s="8"/>
      <c r="HZ48" s="8"/>
      <c r="IA48" s="8"/>
      <c r="IB48" s="8"/>
      <c r="IC48" s="8"/>
      <c r="ID48" s="8"/>
      <c r="IE48" s="8"/>
      <c r="IF48" s="8"/>
      <c r="IG48" s="8"/>
      <c r="IH48" s="8"/>
      <c r="II48" s="8"/>
      <c r="IK48" s="148" t="s">
        <v>5</v>
      </c>
    </row>
    <row r="49" spans="1:245" s="12" customFormat="1" ht="18.75" x14ac:dyDescent="0.2">
      <c r="A49" s="12" t="s">
        <v>2</v>
      </c>
      <c r="B49" s="13">
        <f>SUM(C49:ZZ49)</f>
        <v>11088650</v>
      </c>
      <c r="AO49" s="41"/>
      <c r="AP49" s="44"/>
      <c r="AQ49" s="42">
        <v>12000</v>
      </c>
      <c r="AR49" s="42">
        <v>12000</v>
      </c>
      <c r="AS49" s="42">
        <v>12000</v>
      </c>
      <c r="AT49" s="42">
        <v>12000</v>
      </c>
      <c r="AU49" s="42">
        <v>12000</v>
      </c>
      <c r="AV49" s="42">
        <v>81000</v>
      </c>
      <c r="AW49" s="42">
        <v>81000</v>
      </c>
      <c r="AX49" s="42">
        <v>81000</v>
      </c>
      <c r="AY49" s="42">
        <v>81000</v>
      </c>
      <c r="AZ49" s="42">
        <v>81000</v>
      </c>
      <c r="BA49" s="42">
        <v>81000</v>
      </c>
      <c r="BB49" s="42">
        <v>81000</v>
      </c>
      <c r="BC49" s="43">
        <v>81000</v>
      </c>
      <c r="BD49" s="80">
        <v>81000</v>
      </c>
      <c r="BE49" s="45">
        <v>81000</v>
      </c>
      <c r="BF49" s="45">
        <v>81000</v>
      </c>
      <c r="BG49" s="45">
        <v>81000</v>
      </c>
      <c r="BH49" s="45">
        <v>81000</v>
      </c>
      <c r="BI49" s="45">
        <v>47650</v>
      </c>
      <c r="BJ49" s="45">
        <v>26000</v>
      </c>
      <c r="BK49" s="45">
        <v>26000</v>
      </c>
      <c r="BL49" s="45"/>
      <c r="BM49" s="45">
        <v>26000</v>
      </c>
      <c r="BN49" s="45"/>
      <c r="BO49" s="45"/>
      <c r="BP49" s="45">
        <v>54000</v>
      </c>
      <c r="BQ49" s="45">
        <v>54000</v>
      </c>
      <c r="BR49" s="81">
        <v>54000</v>
      </c>
      <c r="BU49" s="44">
        <v>54000</v>
      </c>
      <c r="BV49" s="42">
        <v>54000</v>
      </c>
      <c r="BW49" s="42">
        <v>54000</v>
      </c>
      <c r="BX49" s="42">
        <v>54000</v>
      </c>
      <c r="BY49" s="42">
        <v>34000</v>
      </c>
      <c r="BZ49" s="42">
        <v>34000</v>
      </c>
      <c r="CA49" s="42">
        <v>34000</v>
      </c>
      <c r="CB49" s="42">
        <v>34000</v>
      </c>
      <c r="CC49" s="42">
        <v>34000</v>
      </c>
      <c r="CD49" s="42">
        <v>34000</v>
      </c>
      <c r="CE49" s="42">
        <v>34000</v>
      </c>
      <c r="CF49" s="42">
        <v>34000</v>
      </c>
      <c r="CG49" s="42">
        <v>34000</v>
      </c>
      <c r="CH49" s="42">
        <v>34000</v>
      </c>
      <c r="CI49" s="42">
        <v>34000</v>
      </c>
      <c r="CJ49" s="43">
        <v>34000</v>
      </c>
      <c r="CM49" s="44">
        <v>34000</v>
      </c>
      <c r="CN49" s="42">
        <v>34000</v>
      </c>
      <c r="CO49" s="42">
        <v>34000</v>
      </c>
      <c r="CP49" s="42">
        <v>34000</v>
      </c>
      <c r="CQ49" s="42">
        <v>34000</v>
      </c>
      <c r="CR49" s="42">
        <v>34000</v>
      </c>
      <c r="CS49" s="42">
        <v>34000</v>
      </c>
      <c r="CT49" s="42">
        <v>34000</v>
      </c>
      <c r="CU49" s="42">
        <v>34000</v>
      </c>
      <c r="CV49" s="42">
        <v>34000</v>
      </c>
      <c r="CW49" s="42"/>
      <c r="CX49" s="42">
        <v>34000</v>
      </c>
      <c r="CY49" s="42">
        <v>34000</v>
      </c>
      <c r="CZ49" s="42">
        <v>34000</v>
      </c>
      <c r="DA49" s="42">
        <v>34000</v>
      </c>
      <c r="DB49" s="43">
        <v>34000</v>
      </c>
      <c r="DF49" s="44">
        <v>34000</v>
      </c>
      <c r="DG49" s="42">
        <v>34000</v>
      </c>
      <c r="DH49" s="42">
        <v>34000</v>
      </c>
      <c r="DI49" s="42">
        <v>34000</v>
      </c>
      <c r="DJ49" s="42">
        <v>34000</v>
      </c>
      <c r="DK49" s="42">
        <v>34000</v>
      </c>
      <c r="DL49" s="42">
        <v>34000</v>
      </c>
      <c r="DM49" s="42">
        <v>34000</v>
      </c>
      <c r="DN49" s="42">
        <v>34000</v>
      </c>
      <c r="DO49" s="42">
        <v>34000</v>
      </c>
      <c r="DP49" s="42">
        <v>34000</v>
      </c>
      <c r="DQ49" s="42">
        <v>34000</v>
      </c>
      <c r="DR49" s="42">
        <v>34000</v>
      </c>
      <c r="DS49" s="42">
        <v>34000</v>
      </c>
      <c r="DT49" s="43">
        <v>34000</v>
      </c>
      <c r="DU49" s="44">
        <v>34000</v>
      </c>
      <c r="DV49" s="42">
        <v>34000</v>
      </c>
      <c r="DW49" s="42">
        <v>77000</v>
      </c>
      <c r="DX49" s="42">
        <v>77000</v>
      </c>
      <c r="DY49" s="42">
        <v>77000</v>
      </c>
      <c r="DZ49" s="42">
        <v>77000</v>
      </c>
      <c r="EA49" s="42">
        <v>77000</v>
      </c>
      <c r="EB49" s="42">
        <v>71000</v>
      </c>
      <c r="EC49" s="42">
        <v>65000</v>
      </c>
      <c r="ED49" s="42">
        <v>72000</v>
      </c>
      <c r="EE49" s="42">
        <v>72000</v>
      </c>
      <c r="EF49" s="42">
        <v>72000</v>
      </c>
      <c r="EG49" s="42">
        <v>72000</v>
      </c>
      <c r="EH49" s="43">
        <v>72000</v>
      </c>
      <c r="EK49" s="44"/>
      <c r="EL49" s="42">
        <v>96000</v>
      </c>
      <c r="EM49" s="42">
        <v>96000</v>
      </c>
      <c r="EN49" s="42">
        <v>96000</v>
      </c>
      <c r="EO49" s="42">
        <v>96000</v>
      </c>
      <c r="EP49" s="42">
        <v>96000</v>
      </c>
      <c r="EQ49" s="42">
        <v>96000</v>
      </c>
      <c r="ER49" s="42">
        <v>96000</v>
      </c>
      <c r="ES49" s="42"/>
      <c r="ET49" s="42">
        <v>96000</v>
      </c>
      <c r="EU49" s="42">
        <v>96000</v>
      </c>
      <c r="EV49" s="42">
        <v>86000</v>
      </c>
      <c r="EW49" s="42">
        <v>86000</v>
      </c>
      <c r="EX49" s="42">
        <v>86000</v>
      </c>
      <c r="EY49" s="42">
        <v>86000</v>
      </c>
      <c r="EZ49" s="43">
        <v>86000</v>
      </c>
      <c r="FC49" s="44">
        <v>86000</v>
      </c>
      <c r="FD49" s="42">
        <v>82000</v>
      </c>
      <c r="FE49" s="42">
        <v>82000</v>
      </c>
      <c r="FF49" s="42">
        <v>82000</v>
      </c>
      <c r="FG49" s="42">
        <v>82000</v>
      </c>
      <c r="FH49" s="42">
        <v>82000</v>
      </c>
      <c r="FI49" s="42">
        <v>82000</v>
      </c>
      <c r="FJ49" s="42">
        <v>82000</v>
      </c>
      <c r="FK49" s="42">
        <v>82000</v>
      </c>
      <c r="FL49" s="42">
        <v>82000</v>
      </c>
      <c r="FM49" s="42">
        <v>82000</v>
      </c>
      <c r="FN49" s="42">
        <v>93000</v>
      </c>
      <c r="FO49" s="42">
        <v>93000</v>
      </c>
      <c r="FP49" s="42">
        <v>93000</v>
      </c>
      <c r="FQ49" s="42">
        <v>93000</v>
      </c>
      <c r="FR49" s="43">
        <v>93000</v>
      </c>
      <c r="FU49" s="44">
        <v>93000</v>
      </c>
      <c r="FV49" s="42">
        <v>93000</v>
      </c>
      <c r="FW49" s="42">
        <v>93000</v>
      </c>
      <c r="FX49" s="42">
        <v>93000</v>
      </c>
      <c r="FY49" s="42">
        <v>93000</v>
      </c>
      <c r="FZ49" s="42">
        <v>93000</v>
      </c>
      <c r="GA49" s="42">
        <v>93000</v>
      </c>
      <c r="GB49" s="42">
        <v>93000</v>
      </c>
      <c r="GC49" s="42">
        <v>93000</v>
      </c>
      <c r="GD49" s="42">
        <v>93000</v>
      </c>
      <c r="GE49" s="42">
        <v>70000</v>
      </c>
      <c r="GF49" s="42">
        <v>70000</v>
      </c>
      <c r="GG49" s="42">
        <v>70000</v>
      </c>
      <c r="GH49" s="42">
        <v>70000</v>
      </c>
      <c r="GI49" s="42">
        <v>70000</v>
      </c>
      <c r="GJ49" s="43">
        <v>70000</v>
      </c>
      <c r="GN49" s="136">
        <v>70000</v>
      </c>
      <c r="GO49" s="137">
        <v>70000</v>
      </c>
      <c r="GP49" s="137">
        <v>70000</v>
      </c>
      <c r="GQ49" s="137">
        <v>70000</v>
      </c>
      <c r="GR49" s="138">
        <v>70000</v>
      </c>
      <c r="GS49" s="138">
        <v>70000</v>
      </c>
      <c r="GT49" s="138">
        <v>70000</v>
      </c>
      <c r="GU49" s="47">
        <v>70000</v>
      </c>
      <c r="GV49" s="47">
        <v>70000</v>
      </c>
      <c r="GW49" s="47">
        <v>70000</v>
      </c>
      <c r="GX49" s="47">
        <v>70000</v>
      </c>
      <c r="GY49" s="47">
        <v>70000</v>
      </c>
      <c r="GZ49" s="47">
        <v>70000</v>
      </c>
      <c r="HA49" s="47">
        <v>70000</v>
      </c>
      <c r="HB49" s="48">
        <v>70000</v>
      </c>
      <c r="HC49" s="49"/>
      <c r="HD49" s="49"/>
      <c r="HE49" s="49"/>
      <c r="HF49" s="51">
        <v>70000</v>
      </c>
      <c r="HG49" s="52">
        <v>70000</v>
      </c>
      <c r="HH49" s="52">
        <v>70000</v>
      </c>
      <c r="HI49" s="52">
        <v>70000</v>
      </c>
      <c r="HJ49" s="52">
        <v>0</v>
      </c>
      <c r="HK49" s="52">
        <v>70000</v>
      </c>
      <c r="HL49" s="52">
        <v>70000</v>
      </c>
      <c r="HM49" s="52">
        <v>70000</v>
      </c>
      <c r="HN49" s="52">
        <v>70000</v>
      </c>
      <c r="HO49" s="52">
        <v>70000</v>
      </c>
      <c r="HP49" s="52">
        <v>70000</v>
      </c>
      <c r="HQ49" s="52">
        <v>70000</v>
      </c>
      <c r="HR49" s="52">
        <v>70000</v>
      </c>
      <c r="HS49" s="52">
        <v>70000</v>
      </c>
      <c r="HT49" s="52">
        <v>70000</v>
      </c>
      <c r="HU49" s="53">
        <v>70000</v>
      </c>
      <c r="HV49" s="50"/>
      <c r="HW49" s="73">
        <v>70000</v>
      </c>
      <c r="HX49" s="50">
        <v>70000</v>
      </c>
      <c r="HY49" s="50">
        <v>70000</v>
      </c>
      <c r="HZ49" s="50">
        <v>70000</v>
      </c>
      <c r="IA49" s="50">
        <v>70000</v>
      </c>
      <c r="IB49" s="50">
        <v>70000</v>
      </c>
      <c r="IC49" s="50">
        <v>70000</v>
      </c>
      <c r="ID49" s="50">
        <v>70000</v>
      </c>
      <c r="IE49" s="50">
        <v>70000</v>
      </c>
      <c r="IF49" s="50">
        <v>70000</v>
      </c>
      <c r="IG49" s="50">
        <v>70000</v>
      </c>
      <c r="IH49" s="50">
        <v>70000</v>
      </c>
      <c r="II49" s="50">
        <v>70000</v>
      </c>
      <c r="IJ49" s="12">
        <v>70000</v>
      </c>
      <c r="IK49" s="147" t="s">
        <v>9</v>
      </c>
    </row>
    <row r="50" spans="1:245" s="12" customFormat="1" ht="19.5" thickBot="1" x14ac:dyDescent="0.25">
      <c r="A50" s="12" t="s">
        <v>4</v>
      </c>
      <c r="B50" s="13">
        <f>SUM(C50:ZZ50)</f>
        <v>6878550</v>
      </c>
      <c r="AO50" s="113">
        <v>104650</v>
      </c>
      <c r="AP50" s="56">
        <v>5700</v>
      </c>
      <c r="AQ50" s="54">
        <v>600</v>
      </c>
      <c r="AR50" s="54">
        <v>6150</v>
      </c>
      <c r="AS50" s="54">
        <v>13950</v>
      </c>
      <c r="AT50" s="54">
        <v>14550</v>
      </c>
      <c r="AU50" s="54">
        <v>5550</v>
      </c>
      <c r="AV50" s="54">
        <v>4650</v>
      </c>
      <c r="AW50" s="54">
        <v>3150</v>
      </c>
      <c r="AX50" s="54"/>
      <c r="AY50" s="54">
        <v>1500</v>
      </c>
      <c r="AZ50" s="54">
        <v>6300</v>
      </c>
      <c r="BA50" s="54">
        <f>3900+11700</f>
        <v>15600</v>
      </c>
      <c r="BB50" s="54">
        <f>4200+5400</f>
        <v>9600</v>
      </c>
      <c r="BC50" s="57">
        <f>106000+5700</f>
        <v>111700</v>
      </c>
      <c r="BD50" s="83">
        <v>1200</v>
      </c>
      <c r="BE50" s="58">
        <v>6900</v>
      </c>
      <c r="BF50" s="58">
        <v>5700</v>
      </c>
      <c r="BG50" s="58">
        <v>4350</v>
      </c>
      <c r="BH50" s="58">
        <v>38700</v>
      </c>
      <c r="BI50" s="58">
        <v>8700</v>
      </c>
      <c r="BJ50" s="58">
        <v>23550</v>
      </c>
      <c r="BK50" s="58">
        <v>45150</v>
      </c>
      <c r="BL50" s="58">
        <v>11100</v>
      </c>
      <c r="BM50" s="58">
        <f>3750+43950</f>
        <v>47700</v>
      </c>
      <c r="BN50" s="58">
        <v>7800</v>
      </c>
      <c r="BO50" s="58"/>
      <c r="BP50" s="58">
        <f>7650+30750</f>
        <v>38400</v>
      </c>
      <c r="BQ50" s="58">
        <f>1200+138000</f>
        <v>139200</v>
      </c>
      <c r="BR50" s="84">
        <v>200000</v>
      </c>
      <c r="BU50" s="56"/>
      <c r="BV50" s="54"/>
      <c r="BW50" s="54">
        <v>11250</v>
      </c>
      <c r="BX50" s="54">
        <v>7350</v>
      </c>
      <c r="BY50" s="54">
        <v>37500</v>
      </c>
      <c r="BZ50" s="54">
        <v>6750</v>
      </c>
      <c r="CA50" s="54">
        <v>7650</v>
      </c>
      <c r="CB50" s="54">
        <v>16350</v>
      </c>
      <c r="CC50" s="54">
        <v>23700</v>
      </c>
      <c r="CD50" s="54">
        <v>25050</v>
      </c>
      <c r="CE50" s="54">
        <v>33450</v>
      </c>
      <c r="CF50" s="54">
        <v>6300</v>
      </c>
      <c r="CG50" s="54">
        <f>22200+4800</f>
        <v>27000</v>
      </c>
      <c r="CH50" s="54">
        <f>2850+26700</f>
        <v>29550</v>
      </c>
      <c r="CI50" s="54">
        <f>29100+138000</f>
        <v>167100</v>
      </c>
      <c r="CJ50" s="57"/>
      <c r="CM50" s="56">
        <v>5700</v>
      </c>
      <c r="CN50" s="54">
        <v>4950</v>
      </c>
      <c r="CO50" s="54">
        <v>5250</v>
      </c>
      <c r="CP50" s="54">
        <v>6450</v>
      </c>
      <c r="CQ50" s="54">
        <v>34800</v>
      </c>
      <c r="CR50" s="54">
        <v>8100</v>
      </c>
      <c r="CS50" s="54">
        <v>6900</v>
      </c>
      <c r="CT50" s="54">
        <v>33600</v>
      </c>
      <c r="CU50" s="54">
        <v>20250</v>
      </c>
      <c r="CV50" s="54">
        <f>8700+44400</f>
        <v>53100</v>
      </c>
      <c r="CW50" s="54"/>
      <c r="CX50" s="54">
        <v>4350</v>
      </c>
      <c r="CY50" s="54">
        <f>1800+50550</f>
        <v>52350</v>
      </c>
      <c r="CZ50" s="54">
        <f>6750+61050</f>
        <v>67800</v>
      </c>
      <c r="DA50" s="54">
        <f>138000+8400</f>
        <v>146400</v>
      </c>
      <c r="DB50" s="57"/>
      <c r="DF50" s="56"/>
      <c r="DG50" s="54">
        <v>8250</v>
      </c>
      <c r="DH50" s="54">
        <v>2400</v>
      </c>
      <c r="DI50" s="54">
        <v>13650</v>
      </c>
      <c r="DJ50" s="54">
        <v>14100</v>
      </c>
      <c r="DK50" s="54">
        <v>63450</v>
      </c>
      <c r="DL50" s="54"/>
      <c r="DM50" s="54">
        <v>31800</v>
      </c>
      <c r="DN50" s="54">
        <v>12000</v>
      </c>
      <c r="DO50" s="54">
        <v>16500</v>
      </c>
      <c r="DP50" s="54">
        <f>1950+34200</f>
        <v>36150</v>
      </c>
      <c r="DQ50" s="54">
        <v>23100</v>
      </c>
      <c r="DR50" s="54">
        <v>10350</v>
      </c>
      <c r="DS50" s="54">
        <v>138000</v>
      </c>
      <c r="DT50" s="57">
        <v>4950</v>
      </c>
      <c r="DU50" s="56">
        <v>1650</v>
      </c>
      <c r="DV50" s="54">
        <v>16800</v>
      </c>
      <c r="DW50" s="54"/>
      <c r="DX50" s="54">
        <v>31050</v>
      </c>
      <c r="DY50" s="54">
        <v>19200</v>
      </c>
      <c r="DZ50" s="54">
        <v>55200</v>
      </c>
      <c r="EA50" s="54">
        <v>9300</v>
      </c>
      <c r="EB50" s="54">
        <f>50000+12000</f>
        <v>62000</v>
      </c>
      <c r="EC50" s="54">
        <v>45000</v>
      </c>
      <c r="ED50" s="54">
        <v>13050</v>
      </c>
      <c r="EE50" s="54">
        <v>3900</v>
      </c>
      <c r="EF50" s="54">
        <v>51600</v>
      </c>
      <c r="EG50" s="54">
        <v>295000</v>
      </c>
      <c r="EH50" s="57"/>
      <c r="EK50" s="56">
        <v>10950</v>
      </c>
      <c r="EL50" s="54">
        <v>1650</v>
      </c>
      <c r="EM50" s="54">
        <v>19050</v>
      </c>
      <c r="EN50" s="54">
        <v>2250</v>
      </c>
      <c r="EO50" s="54">
        <v>10200</v>
      </c>
      <c r="EP50" s="54">
        <v>13050</v>
      </c>
      <c r="EQ50" s="54">
        <v>72300</v>
      </c>
      <c r="ER50" s="54">
        <v>4950</v>
      </c>
      <c r="ES50" s="54"/>
      <c r="ET50" s="54">
        <v>34200</v>
      </c>
      <c r="EU50" s="54">
        <v>34650</v>
      </c>
      <c r="EV50" s="54">
        <v>3900</v>
      </c>
      <c r="EW50" s="54">
        <v>10650</v>
      </c>
      <c r="EX50" s="54">
        <v>4050</v>
      </c>
      <c r="EY50" s="54"/>
      <c r="EZ50" s="57"/>
      <c r="FC50" s="56">
        <v>5550</v>
      </c>
      <c r="FD50" s="54">
        <v>7800</v>
      </c>
      <c r="FE50" s="54">
        <v>1950</v>
      </c>
      <c r="FF50" s="54">
        <v>31200</v>
      </c>
      <c r="FG50" s="54">
        <v>4650</v>
      </c>
      <c r="FH50" s="54">
        <v>60600</v>
      </c>
      <c r="FI50" s="54">
        <v>11400</v>
      </c>
      <c r="FJ50" s="54"/>
      <c r="FK50" s="54">
        <v>26550</v>
      </c>
      <c r="FL50" s="54">
        <v>5250</v>
      </c>
      <c r="FM50" s="54">
        <v>40950</v>
      </c>
      <c r="FN50" s="54">
        <v>12750</v>
      </c>
      <c r="FO50" s="54">
        <f>51000+38550</f>
        <v>89550</v>
      </c>
      <c r="FP50" s="54">
        <f>14700+49800</f>
        <v>64500</v>
      </c>
      <c r="FQ50" s="54">
        <v>295000</v>
      </c>
      <c r="FR50" s="57"/>
      <c r="FU50" s="56"/>
      <c r="FV50" s="54">
        <v>2850</v>
      </c>
      <c r="FW50" s="54">
        <v>6900</v>
      </c>
      <c r="FX50" s="54">
        <v>24450</v>
      </c>
      <c r="FY50" s="54">
        <v>12750</v>
      </c>
      <c r="FZ50" s="54">
        <v>51450</v>
      </c>
      <c r="GA50" s="54">
        <v>13650</v>
      </c>
      <c r="GB50" s="54">
        <v>52200</v>
      </c>
      <c r="GC50" s="54">
        <v>14550</v>
      </c>
      <c r="GD50" s="54">
        <f>4500+73350</f>
        <v>77850</v>
      </c>
      <c r="GE50" s="54"/>
      <c r="GF50" s="54">
        <v>5100</v>
      </c>
      <c r="GG50" s="54">
        <f>3750+100800</f>
        <v>104550</v>
      </c>
      <c r="GH50" s="54">
        <v>93750</v>
      </c>
      <c r="GI50" s="54">
        <v>295000</v>
      </c>
      <c r="GJ50" s="57"/>
      <c r="GN50" s="139"/>
      <c r="GO50" s="140">
        <v>13200</v>
      </c>
      <c r="GP50" s="140"/>
      <c r="GQ50" s="140"/>
      <c r="GR50" s="141"/>
      <c r="GS50" s="141">
        <v>77250</v>
      </c>
      <c r="GT50" s="141">
        <v>5250</v>
      </c>
      <c r="GU50" s="60">
        <v>44700</v>
      </c>
      <c r="GV50" s="60">
        <v>10000</v>
      </c>
      <c r="GW50" s="60">
        <v>10050</v>
      </c>
      <c r="GX50" s="60">
        <v>155100</v>
      </c>
      <c r="GY50" s="60">
        <v>18750</v>
      </c>
      <c r="GZ50" s="60">
        <v>9000</v>
      </c>
      <c r="HA50" s="49">
        <v>8550</v>
      </c>
      <c r="HB50" s="61">
        <v>295000</v>
      </c>
      <c r="HC50" s="49"/>
      <c r="HD50" s="49"/>
      <c r="HE50" s="49"/>
      <c r="HF50" s="74"/>
      <c r="HG50" s="64">
        <v>26550</v>
      </c>
      <c r="HH50" s="64">
        <v>8250</v>
      </c>
      <c r="HI50" s="64">
        <v>128850</v>
      </c>
      <c r="HJ50" s="64">
        <v>0</v>
      </c>
      <c r="HK50" s="64">
        <v>64500</v>
      </c>
      <c r="HL50" s="64">
        <v>28050</v>
      </c>
      <c r="HM50" s="64">
        <v>81450</v>
      </c>
      <c r="HN50" s="64">
        <f>6600+18750</f>
        <v>25350</v>
      </c>
      <c r="HO50" s="64">
        <v>150300</v>
      </c>
      <c r="HP50" s="64"/>
      <c r="HQ50" s="64">
        <f>24000+93900</f>
        <v>117900</v>
      </c>
      <c r="HR50" s="64">
        <v>7950</v>
      </c>
      <c r="HS50" s="64">
        <v>32550</v>
      </c>
      <c r="HT50" s="64">
        <v>295000</v>
      </c>
      <c r="HU50" s="65"/>
      <c r="HV50" s="50"/>
      <c r="HW50" s="73"/>
      <c r="HX50" s="50"/>
      <c r="HY50" s="50"/>
      <c r="HZ50" s="50"/>
      <c r="IA50" s="50">
        <v>15600</v>
      </c>
      <c r="IB50" s="50">
        <v>5250</v>
      </c>
      <c r="IC50" s="50">
        <v>71850</v>
      </c>
      <c r="ID50" s="50">
        <v>12000</v>
      </c>
      <c r="IE50" s="50">
        <v>200400</v>
      </c>
      <c r="IF50" s="50">
        <v>5100</v>
      </c>
      <c r="IG50" s="50">
        <v>114750</v>
      </c>
      <c r="IH50" s="50">
        <v>295950</v>
      </c>
      <c r="II50" s="50">
        <f>29250+144000</f>
        <v>173250</v>
      </c>
      <c r="IJ50" s="12">
        <v>26700</v>
      </c>
      <c r="IK50" s="147" t="s">
        <v>11</v>
      </c>
    </row>
    <row r="51" spans="1:245" s="12" customFormat="1" ht="18.75" x14ac:dyDescent="0.25">
      <c r="A51" s="12" t="s">
        <v>6</v>
      </c>
      <c r="B51" s="36">
        <f>B50-B49</f>
        <v>-4210100</v>
      </c>
      <c r="AO51" s="41"/>
      <c r="BB51" s="66" t="s">
        <v>53</v>
      </c>
      <c r="BC51" s="67">
        <f>SUM(AP50:BC50)-SUM(AP49:BC49)</f>
        <v>-509000</v>
      </c>
      <c r="BQ51" s="66" t="s">
        <v>50</v>
      </c>
      <c r="BR51" s="67">
        <f>SUM(BD50:BR50)-SUM(BD49:BR49)</f>
        <v>-114200</v>
      </c>
      <c r="CI51" s="66" t="s">
        <v>50</v>
      </c>
      <c r="CJ51" s="67">
        <f>SUM(BU50:CJ50)-SUM(BU49:CJ49)</f>
        <v>-225000</v>
      </c>
      <c r="DA51" s="66" t="s">
        <v>50</v>
      </c>
      <c r="DB51" s="67">
        <f>SUM(CK50:DB50)-SUM(CK49:DB49)</f>
        <v>-60000</v>
      </c>
      <c r="DS51" s="66" t="s">
        <v>50</v>
      </c>
      <c r="DT51" s="67">
        <f>SUM(DC50:DT50)-SUM(DC49:DT49)</f>
        <v>-135300</v>
      </c>
      <c r="EG51" s="66" t="s">
        <v>54</v>
      </c>
      <c r="EH51" s="67">
        <f>SUM(DU50:EH50)-SUM(DU49:EH49)</f>
        <v>-345250</v>
      </c>
      <c r="EY51" s="66" t="s">
        <v>54</v>
      </c>
      <c r="EZ51" s="67">
        <f>SUM(EK50:EZ50)-SUM(EK49:EZ49)</f>
        <v>-1072150</v>
      </c>
      <c r="FQ51" s="66" t="s">
        <v>54</v>
      </c>
      <c r="FR51" s="67">
        <f>SUM(FC50:FR50)-SUM(FC49:FR49)</f>
        <v>-713300</v>
      </c>
      <c r="GI51" s="66" t="s">
        <v>54</v>
      </c>
      <c r="GJ51" s="67">
        <f>SUM(FU50:GJ50)-SUM(FU49:GJ49)</f>
        <v>-594950</v>
      </c>
      <c r="GR51" s="49"/>
      <c r="GS51" s="49"/>
      <c r="GT51" s="49"/>
      <c r="GU51" s="49"/>
      <c r="GV51" s="49"/>
      <c r="GW51" s="49"/>
      <c r="GX51" s="49"/>
      <c r="GY51" s="49"/>
      <c r="GZ51" s="49"/>
      <c r="HA51" s="68" t="s">
        <v>54</v>
      </c>
      <c r="HB51" s="33">
        <f>SUM(GN50:HB50)-SUM(GN49:HB49)</f>
        <v>-403150</v>
      </c>
      <c r="HC51" s="49"/>
      <c r="HD51" s="49"/>
      <c r="HE51" s="49"/>
      <c r="HF51" s="49"/>
      <c r="HG51" s="49"/>
      <c r="HH51" s="49"/>
      <c r="HI51" s="49"/>
      <c r="HJ51" s="50"/>
      <c r="HK51" s="50"/>
      <c r="HL51" s="50"/>
      <c r="HM51" s="50"/>
      <c r="HN51" s="50"/>
      <c r="HO51" s="50"/>
      <c r="HP51" s="50"/>
      <c r="HQ51" s="50"/>
      <c r="HR51" s="50"/>
      <c r="HS51" s="50"/>
      <c r="HT51" s="50"/>
      <c r="HU51" s="69" t="s">
        <v>55</v>
      </c>
      <c r="HV51" s="35">
        <f>SUM(HF50:HU50)-SUM(HF49:HU49)</f>
        <v>-83300</v>
      </c>
      <c r="HW51" s="50"/>
      <c r="HX51" s="50"/>
      <c r="HY51" s="50"/>
      <c r="HZ51" s="50"/>
      <c r="IA51" s="50"/>
      <c r="IB51" s="50"/>
      <c r="IC51" s="50"/>
      <c r="ID51" s="50"/>
      <c r="IE51" s="50"/>
      <c r="IF51" s="50"/>
      <c r="IG51" s="50"/>
      <c r="IH51" s="50"/>
      <c r="II51" s="50"/>
      <c r="IK51" s="147" t="s">
        <v>23</v>
      </c>
    </row>
    <row r="52" spans="1:245" ht="19.5" thickBot="1" x14ac:dyDescent="0.3">
      <c r="A52" s="88"/>
      <c r="B52" s="31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AO52" s="41"/>
      <c r="AP52" s="12"/>
      <c r="AQ52" s="12"/>
      <c r="AR52" s="12"/>
      <c r="AS52" s="12"/>
      <c r="AT52" s="12"/>
      <c r="AU52" s="12"/>
      <c r="AV52" s="12"/>
      <c r="AW52" s="12"/>
      <c r="AX52" s="12"/>
      <c r="AY52" s="12"/>
      <c r="AZ52" s="12"/>
      <c r="BA52" s="12"/>
      <c r="BB52" s="12"/>
      <c r="BC52" s="70">
        <f>SUM(AP50:BC50)/SUM(AP49:BC49)</f>
        <v>0.28107344632768361</v>
      </c>
      <c r="BD52" s="12"/>
      <c r="BE52" s="12"/>
      <c r="BF52" s="12"/>
      <c r="BQ52" s="12"/>
      <c r="BR52" s="70">
        <f>SUM(BD50:BR50)/SUM(BD49:BR49)</f>
        <v>0.83512596549483864</v>
      </c>
      <c r="CI52" s="12"/>
      <c r="CJ52" s="70">
        <f>SUM(BU50:CJ50)/SUM(BU49:CJ49)</f>
        <v>0.63942307692307687</v>
      </c>
      <c r="DA52" s="12"/>
      <c r="DB52" s="70">
        <f>SUM(CK50:DB50)/SUM(CK49:DB49)</f>
        <v>0.88235294117647056</v>
      </c>
      <c r="DS52" s="12"/>
      <c r="DT52" s="70">
        <f>SUM(DC50:DT50)/SUM(DC49:DT49)</f>
        <v>0.73470588235294121</v>
      </c>
      <c r="EG52" s="12"/>
      <c r="EH52" s="70">
        <f>SUM(DU50:EH50)/SUM(DU49:EH49)</f>
        <v>0.63619599578503683</v>
      </c>
      <c r="EY52" s="12"/>
      <c r="EZ52" s="70">
        <f>SUM(EK50:EZ50)/SUM(EK49:EZ49)</f>
        <v>0.1714451313755796</v>
      </c>
      <c r="FQ52" s="12"/>
      <c r="FR52" s="70">
        <f>SUM(FC50:FR50)/SUM(FC49:FR49)</f>
        <v>0.47972283005105765</v>
      </c>
      <c r="GI52" s="12"/>
      <c r="GJ52" s="70">
        <f>SUM(FU50:GJ50)/SUM(FU49:GJ49)</f>
        <v>0.55929629629629629</v>
      </c>
      <c r="GR52" s="7"/>
      <c r="GS52" s="7"/>
      <c r="GT52" s="7"/>
      <c r="GU52" s="7"/>
      <c r="GV52" s="7"/>
      <c r="GW52" s="7"/>
      <c r="GX52" s="7"/>
      <c r="GY52" s="7"/>
      <c r="GZ52" s="7"/>
      <c r="HA52" s="37"/>
      <c r="HB52" s="38">
        <f>SUM(GN50:HB50)/SUM(GN49:HB49)</f>
        <v>0.61604761904761907</v>
      </c>
      <c r="HC52" s="7"/>
      <c r="HD52" s="99"/>
      <c r="HE52" s="7"/>
      <c r="HF52" s="7"/>
      <c r="HG52" s="7"/>
      <c r="HH52" s="7"/>
      <c r="HI52" s="7"/>
      <c r="HJ52" s="8"/>
      <c r="HK52" s="8"/>
      <c r="HL52" s="8"/>
      <c r="HM52" s="8"/>
      <c r="HN52" s="8"/>
      <c r="HO52" s="8"/>
      <c r="HP52" s="8"/>
      <c r="HQ52" s="8"/>
      <c r="HR52" s="8"/>
      <c r="HS52" s="8"/>
      <c r="HT52" s="8"/>
      <c r="HU52" s="39"/>
      <c r="HV52" s="40">
        <f>SUM(HF50:HU50)/SUM(HF49:HU49)</f>
        <v>0.92066666666666663</v>
      </c>
      <c r="HW52" s="8"/>
      <c r="HX52" s="8"/>
      <c r="HY52" s="8"/>
      <c r="HZ52" s="8"/>
      <c r="IA52" s="8"/>
      <c r="IB52" s="8"/>
      <c r="IC52" s="8"/>
      <c r="ID52" s="8"/>
      <c r="IE52" s="8"/>
      <c r="IF52" s="8"/>
      <c r="IG52" s="8"/>
      <c r="IH52" s="8"/>
      <c r="II52" s="8"/>
      <c r="IK52" s="148"/>
    </row>
    <row r="53" spans="1:245" ht="18.75" x14ac:dyDescent="0.25">
      <c r="A53" s="9" t="s">
        <v>56</v>
      </c>
      <c r="B53" s="10">
        <f>B55/B54</f>
        <v>0.79438107735271357</v>
      </c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  <c r="AL53" s="12"/>
      <c r="AM53" s="12"/>
      <c r="AN53" s="12"/>
      <c r="AO53" s="41"/>
      <c r="AP53" s="12"/>
      <c r="AQ53" s="12"/>
      <c r="AR53" s="12"/>
      <c r="AS53" s="12"/>
      <c r="AT53" s="12"/>
      <c r="AU53" s="12"/>
      <c r="AV53" s="12"/>
      <c r="AW53" s="12"/>
      <c r="AX53" s="12"/>
      <c r="AY53" s="12"/>
      <c r="AZ53" s="12"/>
      <c r="BA53" s="12"/>
      <c r="BB53" s="12"/>
      <c r="BC53" s="12"/>
      <c r="BD53" s="12"/>
      <c r="BE53" s="12"/>
      <c r="BF53" s="12"/>
      <c r="GR53" s="7"/>
      <c r="GS53" s="7"/>
      <c r="GT53" s="7"/>
      <c r="GU53" s="7"/>
      <c r="GV53" s="7"/>
      <c r="GW53" s="7"/>
      <c r="GX53" s="7"/>
      <c r="GY53" s="7"/>
      <c r="GZ53" s="7"/>
      <c r="HA53" s="7"/>
      <c r="HB53" s="7"/>
      <c r="HC53" s="7"/>
      <c r="HD53" s="7"/>
      <c r="HE53" s="7"/>
      <c r="HF53" s="7"/>
      <c r="HG53" s="7"/>
      <c r="HH53" s="7"/>
      <c r="HI53" s="7"/>
      <c r="HJ53" s="8"/>
      <c r="HK53" s="8"/>
      <c r="HL53" s="8"/>
      <c r="HM53" s="8"/>
      <c r="HN53" s="8"/>
      <c r="HO53" s="8"/>
      <c r="HP53" s="8"/>
      <c r="HQ53" s="8"/>
      <c r="HR53" s="8"/>
      <c r="HS53" s="8"/>
      <c r="HT53" s="8"/>
      <c r="HU53" s="8"/>
      <c r="HV53" s="8"/>
      <c r="HW53" s="8"/>
      <c r="HX53" s="8"/>
      <c r="HY53" s="8"/>
      <c r="HZ53" s="8"/>
      <c r="IA53" s="8"/>
      <c r="IB53" s="8"/>
      <c r="IC53" s="8"/>
      <c r="ID53" s="8"/>
      <c r="IE53" s="8"/>
      <c r="IF53" s="8"/>
      <c r="IG53" s="8"/>
      <c r="IH53" s="8"/>
      <c r="II53" s="8"/>
      <c r="IK53" s="148" t="s">
        <v>86</v>
      </c>
    </row>
    <row r="54" spans="1:245" s="12" customFormat="1" ht="18.75" x14ac:dyDescent="0.2">
      <c r="A54" s="12" t="s">
        <v>2</v>
      </c>
      <c r="B54" s="13">
        <f>SUM(C54:ZZ54)</f>
        <v>14860500</v>
      </c>
      <c r="AO54" s="41"/>
      <c r="BA54" s="44">
        <v>221050</v>
      </c>
      <c r="BB54" s="42">
        <v>218850</v>
      </c>
      <c r="BC54" s="42">
        <v>176600</v>
      </c>
      <c r="BD54" s="42">
        <v>157650</v>
      </c>
      <c r="BE54" s="42">
        <v>110550</v>
      </c>
      <c r="BF54" s="42">
        <v>81000</v>
      </c>
      <c r="BG54" s="42">
        <v>81000</v>
      </c>
      <c r="BH54" s="42">
        <v>81000</v>
      </c>
      <c r="BI54" s="42">
        <v>81000</v>
      </c>
      <c r="BJ54" s="42">
        <v>60850</v>
      </c>
      <c r="BK54" s="42">
        <v>130550</v>
      </c>
      <c r="BL54" s="42">
        <v>131400</v>
      </c>
      <c r="BM54" s="42">
        <v>113400</v>
      </c>
      <c r="BN54" s="42">
        <v>107350</v>
      </c>
      <c r="BO54" s="42">
        <v>158950</v>
      </c>
      <c r="BP54" s="42">
        <v>83100</v>
      </c>
      <c r="BQ54" s="42">
        <v>109350</v>
      </c>
      <c r="BR54" s="43">
        <v>92600</v>
      </c>
      <c r="BU54" s="44">
        <v>149900</v>
      </c>
      <c r="BV54" s="42">
        <v>144200</v>
      </c>
      <c r="BW54" s="42">
        <v>122250</v>
      </c>
      <c r="BX54" s="42">
        <v>97200</v>
      </c>
      <c r="BY54" s="42">
        <v>85200</v>
      </c>
      <c r="BZ54" s="42">
        <v>67100</v>
      </c>
      <c r="CA54" s="42">
        <v>57450</v>
      </c>
      <c r="CB54" s="42">
        <v>45600</v>
      </c>
      <c r="CC54" s="42">
        <v>77750</v>
      </c>
      <c r="CD54" s="42">
        <v>94150</v>
      </c>
      <c r="CE54" s="42">
        <v>105600</v>
      </c>
      <c r="CF54" s="42">
        <v>128700</v>
      </c>
      <c r="CG54" s="42">
        <v>125100</v>
      </c>
      <c r="CH54" s="42">
        <v>105700</v>
      </c>
      <c r="CI54" s="42">
        <v>104150</v>
      </c>
      <c r="CJ54" s="42">
        <v>88200</v>
      </c>
      <c r="CK54" s="43">
        <v>108100</v>
      </c>
      <c r="CM54" s="44">
        <v>149700</v>
      </c>
      <c r="CN54" s="42">
        <v>146200</v>
      </c>
      <c r="CO54" s="42">
        <v>60000</v>
      </c>
      <c r="CP54" s="42">
        <v>54000</v>
      </c>
      <c r="CQ54" s="42"/>
      <c r="CR54" s="42">
        <v>47000</v>
      </c>
      <c r="CS54" s="42">
        <v>47000</v>
      </c>
      <c r="CT54" s="42">
        <v>47000</v>
      </c>
      <c r="CU54" s="42">
        <v>47000</v>
      </c>
      <c r="CV54" s="42">
        <v>47000</v>
      </c>
      <c r="CW54" s="42">
        <v>47000</v>
      </c>
      <c r="CX54" s="42">
        <v>47000</v>
      </c>
      <c r="CY54" s="42">
        <v>47000</v>
      </c>
      <c r="CZ54" s="42">
        <v>47000</v>
      </c>
      <c r="DA54" s="42">
        <v>47000</v>
      </c>
      <c r="DB54" s="43">
        <v>47000</v>
      </c>
      <c r="DE54" s="44">
        <v>47000</v>
      </c>
      <c r="DF54" s="42">
        <v>47000</v>
      </c>
      <c r="DG54" s="42">
        <v>47000</v>
      </c>
      <c r="DH54" s="42">
        <v>47000</v>
      </c>
      <c r="DI54" s="42">
        <v>47000</v>
      </c>
      <c r="DJ54" s="42">
        <v>47000</v>
      </c>
      <c r="DK54" s="42">
        <v>47000</v>
      </c>
      <c r="DL54" s="42">
        <v>47000</v>
      </c>
      <c r="DM54" s="42">
        <v>47000</v>
      </c>
      <c r="DN54" s="42">
        <v>47000</v>
      </c>
      <c r="DO54" s="42">
        <v>107000</v>
      </c>
      <c r="DP54" s="42">
        <v>107000</v>
      </c>
      <c r="DQ54" s="42">
        <v>107000</v>
      </c>
      <c r="DR54" s="42">
        <v>107000</v>
      </c>
      <c r="DS54" s="42">
        <v>107000</v>
      </c>
      <c r="DT54" s="42">
        <v>107000</v>
      </c>
      <c r="DU54" s="43">
        <v>107000</v>
      </c>
      <c r="DW54" s="44">
        <v>107000</v>
      </c>
      <c r="DX54" s="42">
        <v>107000</v>
      </c>
      <c r="DY54" s="42">
        <v>107000</v>
      </c>
      <c r="DZ54" s="42">
        <v>107000</v>
      </c>
      <c r="EA54" s="42">
        <v>93000</v>
      </c>
      <c r="EB54" s="42">
        <v>71000</v>
      </c>
      <c r="EC54" s="42">
        <v>65000</v>
      </c>
      <c r="ED54" s="42">
        <v>72000</v>
      </c>
      <c r="EE54" s="42">
        <v>72000</v>
      </c>
      <c r="EF54" s="42">
        <v>72000</v>
      </c>
      <c r="EG54" s="42">
        <v>72000</v>
      </c>
      <c r="EH54" s="42">
        <v>72000</v>
      </c>
      <c r="EI54" s="42">
        <v>98000</v>
      </c>
      <c r="EJ54" s="42">
        <v>97000</v>
      </c>
      <c r="EK54" s="42">
        <v>74000</v>
      </c>
      <c r="EL54" s="43">
        <v>74000</v>
      </c>
      <c r="EO54" s="44">
        <v>74000</v>
      </c>
      <c r="EP54" s="42">
        <v>74000</v>
      </c>
      <c r="EQ54" s="42">
        <v>74000</v>
      </c>
      <c r="ER54" s="42">
        <v>70000</v>
      </c>
      <c r="ES54" s="42">
        <v>70000</v>
      </c>
      <c r="ET54" s="42">
        <v>70000</v>
      </c>
      <c r="EU54" s="42">
        <v>70000</v>
      </c>
      <c r="EV54" s="42">
        <v>70000</v>
      </c>
      <c r="EW54" s="42">
        <v>80000</v>
      </c>
      <c r="EX54" s="42">
        <v>80000</v>
      </c>
      <c r="EY54" s="42">
        <v>80000</v>
      </c>
      <c r="EZ54" s="42">
        <v>76000</v>
      </c>
      <c r="FA54" s="42">
        <v>76000</v>
      </c>
      <c r="FB54" s="42">
        <v>76000</v>
      </c>
      <c r="FC54" s="42">
        <v>76000</v>
      </c>
      <c r="FD54" s="43">
        <v>76000</v>
      </c>
      <c r="FG54" s="44">
        <v>76000</v>
      </c>
      <c r="FH54" s="42">
        <v>76000</v>
      </c>
      <c r="FI54" s="42">
        <v>76000</v>
      </c>
      <c r="FJ54" s="42">
        <v>76000</v>
      </c>
      <c r="FK54" s="42">
        <v>76000</v>
      </c>
      <c r="FL54" s="42">
        <v>76000</v>
      </c>
      <c r="FM54" s="42">
        <v>76000</v>
      </c>
      <c r="FN54" s="42">
        <v>76000</v>
      </c>
      <c r="FO54" s="42">
        <v>76000</v>
      </c>
      <c r="FP54" s="42">
        <v>76000</v>
      </c>
      <c r="FQ54" s="42">
        <v>76000</v>
      </c>
      <c r="FR54" s="42">
        <v>76000</v>
      </c>
      <c r="FS54" s="42">
        <v>76000</v>
      </c>
      <c r="FT54" s="42">
        <v>76000</v>
      </c>
      <c r="FU54" s="42">
        <v>76000</v>
      </c>
      <c r="FV54" s="43">
        <v>76000</v>
      </c>
      <c r="FY54" s="44">
        <v>76000</v>
      </c>
      <c r="FZ54" s="42">
        <v>76000</v>
      </c>
      <c r="GA54" s="42">
        <v>76000</v>
      </c>
      <c r="GB54" s="42">
        <v>76000</v>
      </c>
      <c r="GC54" s="42">
        <v>76000</v>
      </c>
      <c r="GD54" s="42">
        <v>70000</v>
      </c>
      <c r="GE54" s="42">
        <v>70000</v>
      </c>
      <c r="GF54" s="42">
        <v>70000</v>
      </c>
      <c r="GG54" s="42">
        <v>70000</v>
      </c>
      <c r="GH54" s="42">
        <v>70000</v>
      </c>
      <c r="GI54" s="42">
        <v>70000</v>
      </c>
      <c r="GJ54" s="42">
        <v>70000</v>
      </c>
      <c r="GK54" s="42">
        <v>70000</v>
      </c>
      <c r="GL54" s="42">
        <v>70000</v>
      </c>
      <c r="GM54" s="42">
        <v>70000</v>
      </c>
      <c r="GN54" s="42">
        <v>70000</v>
      </c>
      <c r="GO54" s="43">
        <v>70000</v>
      </c>
      <c r="GQ54" s="136">
        <v>70000</v>
      </c>
      <c r="GR54" s="47">
        <v>70000</v>
      </c>
      <c r="GS54" s="47">
        <v>70000</v>
      </c>
      <c r="GT54" s="47">
        <v>70000</v>
      </c>
      <c r="GU54" s="47">
        <v>70000</v>
      </c>
      <c r="GV54" s="47">
        <v>70000</v>
      </c>
      <c r="GW54" s="47">
        <v>70000</v>
      </c>
      <c r="GX54" s="47">
        <v>70000</v>
      </c>
      <c r="GY54" s="47">
        <v>70000</v>
      </c>
      <c r="GZ54" s="47">
        <v>70000</v>
      </c>
      <c r="HA54" s="47">
        <v>70000</v>
      </c>
      <c r="HB54" s="47">
        <v>70000</v>
      </c>
      <c r="HC54" s="47">
        <v>70000</v>
      </c>
      <c r="HD54" s="47">
        <v>70000</v>
      </c>
      <c r="HE54" s="47">
        <v>70000</v>
      </c>
      <c r="HF54" s="47">
        <v>70000</v>
      </c>
      <c r="HG54" s="47">
        <v>70000</v>
      </c>
      <c r="HH54" s="47">
        <v>70000</v>
      </c>
      <c r="HI54" s="51">
        <v>70000</v>
      </c>
      <c r="HJ54" s="52">
        <v>70000</v>
      </c>
      <c r="HK54" s="52">
        <v>70000</v>
      </c>
      <c r="HL54" s="52">
        <v>70000</v>
      </c>
      <c r="HM54" s="52">
        <v>70000</v>
      </c>
      <c r="HN54" s="52">
        <v>97000</v>
      </c>
      <c r="HO54" s="52">
        <v>97000</v>
      </c>
      <c r="HP54" s="52">
        <v>101000</v>
      </c>
      <c r="HQ54" s="52">
        <v>101000</v>
      </c>
      <c r="HR54" s="52">
        <v>101000</v>
      </c>
      <c r="HS54" s="52">
        <v>101000</v>
      </c>
      <c r="HT54" s="52">
        <v>101000</v>
      </c>
      <c r="HU54" s="52">
        <v>101000</v>
      </c>
      <c r="HV54" s="52">
        <v>101000</v>
      </c>
      <c r="HW54" s="52">
        <v>101000</v>
      </c>
      <c r="HX54" s="52">
        <v>101000</v>
      </c>
      <c r="HY54" s="53">
        <v>101000</v>
      </c>
      <c r="HZ54" s="50"/>
      <c r="IA54" s="73">
        <v>101000</v>
      </c>
      <c r="IB54" s="50">
        <v>101000</v>
      </c>
      <c r="IC54" s="50">
        <v>101000</v>
      </c>
      <c r="ID54" s="50">
        <v>101000</v>
      </c>
      <c r="IE54" s="50">
        <v>101000</v>
      </c>
      <c r="IF54" s="50">
        <v>101000</v>
      </c>
      <c r="IG54" s="50">
        <v>101000</v>
      </c>
      <c r="IH54" s="50">
        <v>101000</v>
      </c>
      <c r="II54" s="50">
        <v>101000</v>
      </c>
      <c r="IJ54" s="12">
        <v>101000</v>
      </c>
      <c r="IK54" s="147" t="s">
        <v>36</v>
      </c>
    </row>
    <row r="55" spans="1:245" s="12" customFormat="1" ht="19.5" thickBot="1" x14ac:dyDescent="0.25">
      <c r="A55" s="12" t="s">
        <v>4</v>
      </c>
      <c r="B55" s="13">
        <f>SUM(C55:ZZ55)</f>
        <v>11804900</v>
      </c>
      <c r="AO55" s="41"/>
      <c r="AZ55" s="106">
        <v>26600</v>
      </c>
      <c r="BA55" s="56"/>
      <c r="BB55" s="54"/>
      <c r="BC55" s="54">
        <v>19350</v>
      </c>
      <c r="BD55" s="54">
        <v>59100</v>
      </c>
      <c r="BE55" s="54">
        <v>6150</v>
      </c>
      <c r="BF55" s="54">
        <v>6750</v>
      </c>
      <c r="BG55" s="54">
        <v>24450</v>
      </c>
      <c r="BH55" s="54">
        <v>181800</v>
      </c>
      <c r="BI55" s="54">
        <v>6600</v>
      </c>
      <c r="BJ55" s="54">
        <v>137850</v>
      </c>
      <c r="BK55" s="54">
        <v>137700</v>
      </c>
      <c r="BL55" s="54">
        <v>4200</v>
      </c>
      <c r="BM55" s="54"/>
      <c r="BN55" s="54">
        <v>40650</v>
      </c>
      <c r="BO55" s="54">
        <v>13950</v>
      </c>
      <c r="BP55" s="54">
        <v>12900</v>
      </c>
      <c r="BQ55" s="54">
        <v>297000</v>
      </c>
      <c r="BR55" s="57"/>
      <c r="BU55" s="56"/>
      <c r="BV55" s="54"/>
      <c r="BW55" s="54"/>
      <c r="BX55" s="54"/>
      <c r="BY55" s="54">
        <v>114450</v>
      </c>
      <c r="BZ55" s="54">
        <v>149100</v>
      </c>
      <c r="CA55" s="54">
        <v>41700</v>
      </c>
      <c r="CB55" s="54">
        <v>51750</v>
      </c>
      <c r="CC55" s="54">
        <v>2550</v>
      </c>
      <c r="CD55" s="54"/>
      <c r="CE55" s="54">
        <v>11550</v>
      </c>
      <c r="CF55" s="54">
        <v>6900</v>
      </c>
      <c r="CG55" s="54"/>
      <c r="CH55" s="54"/>
      <c r="CI55" s="54">
        <f>16950+91050+297000</f>
        <v>405000</v>
      </c>
      <c r="CJ55" s="54"/>
      <c r="CK55" s="57"/>
      <c r="CM55" s="56"/>
      <c r="CN55" s="54"/>
      <c r="CO55" s="54"/>
      <c r="CP55" s="54"/>
      <c r="CQ55" s="54">
        <v>91950</v>
      </c>
      <c r="CR55" s="54">
        <v>187200</v>
      </c>
      <c r="CS55" s="54">
        <v>147150</v>
      </c>
      <c r="CT55" s="54">
        <v>51750</v>
      </c>
      <c r="CU55" s="54">
        <v>6000</v>
      </c>
      <c r="CV55" s="54"/>
      <c r="CW55" s="54"/>
      <c r="CX55" s="54">
        <v>39000</v>
      </c>
      <c r="CY55" s="54">
        <v>73500</v>
      </c>
      <c r="CZ55" s="54"/>
      <c r="DA55" s="54">
        <f>297000+149100</f>
        <v>446100</v>
      </c>
      <c r="DB55" s="57"/>
      <c r="DE55" s="56"/>
      <c r="DF55" s="54">
        <v>31200</v>
      </c>
      <c r="DG55" s="54">
        <v>73050</v>
      </c>
      <c r="DH55" s="54"/>
      <c r="DI55" s="54"/>
      <c r="DJ55" s="54"/>
      <c r="DK55" s="54"/>
      <c r="DL55" s="54"/>
      <c r="DM55" s="54"/>
      <c r="DN55" s="54">
        <v>143400</v>
      </c>
      <c r="DO55" s="54">
        <v>71550</v>
      </c>
      <c r="DP55" s="54">
        <v>22950</v>
      </c>
      <c r="DQ55" s="54"/>
      <c r="DR55" s="54"/>
      <c r="DS55" s="54">
        <f>297000+165150</f>
        <v>462150</v>
      </c>
      <c r="DT55" s="54"/>
      <c r="DU55" s="57"/>
      <c r="DW55" s="56"/>
      <c r="DX55" s="54"/>
      <c r="DY55" s="54"/>
      <c r="DZ55" s="54"/>
      <c r="EA55" s="54">
        <v>156900</v>
      </c>
      <c r="EB55" s="54">
        <v>76050</v>
      </c>
      <c r="EC55" s="54">
        <v>193650</v>
      </c>
      <c r="ED55" s="54">
        <v>66750</v>
      </c>
      <c r="EE55" s="54"/>
      <c r="EF55" s="54"/>
      <c r="EG55" s="54"/>
      <c r="EH55" s="54"/>
      <c r="EI55" s="54">
        <v>73800</v>
      </c>
      <c r="EJ55" s="54">
        <f>4950+37650</f>
        <v>42600</v>
      </c>
      <c r="EK55" s="54">
        <f>297000+10500+60000+148500</f>
        <v>516000</v>
      </c>
      <c r="EL55" s="57"/>
      <c r="EO55" s="56"/>
      <c r="EP55" s="54"/>
      <c r="EQ55" s="54"/>
      <c r="ER55" s="54"/>
      <c r="ES55" s="54">
        <v>103500</v>
      </c>
      <c r="ET55" s="54">
        <v>83850</v>
      </c>
      <c r="EU55" s="54">
        <v>158100</v>
      </c>
      <c r="EV55" s="54"/>
      <c r="EW55" s="54"/>
      <c r="EX55" s="54"/>
      <c r="EY55" s="54">
        <v>145950</v>
      </c>
      <c r="EZ55" s="54">
        <v>3750</v>
      </c>
      <c r="FA55" s="54">
        <v>58800</v>
      </c>
      <c r="FB55" s="54"/>
      <c r="FC55" s="54">
        <f>297000+9150+374100</f>
        <v>680250</v>
      </c>
      <c r="FD55" s="57"/>
      <c r="FG55" s="56"/>
      <c r="FH55" s="54"/>
      <c r="FI55" s="54"/>
      <c r="FJ55" s="54"/>
      <c r="FK55" s="54">
        <v>105000</v>
      </c>
      <c r="FL55" s="54">
        <v>247800</v>
      </c>
      <c r="FM55" s="54">
        <v>83850</v>
      </c>
      <c r="FN55" s="54">
        <v>114300</v>
      </c>
      <c r="FO55" s="54"/>
      <c r="FP55" s="54">
        <v>11550</v>
      </c>
      <c r="FQ55" s="54"/>
      <c r="FR55" s="54">
        <v>15750</v>
      </c>
      <c r="FS55" s="54">
        <v>138600</v>
      </c>
      <c r="FT55" s="54">
        <v>51450</v>
      </c>
      <c r="FU55" s="54">
        <f>297000+44250+84600</f>
        <v>425850</v>
      </c>
      <c r="FV55" s="57"/>
      <c r="FY55" s="56"/>
      <c r="FZ55" s="54"/>
      <c r="GA55" s="54"/>
      <c r="GB55" s="54"/>
      <c r="GC55" s="54">
        <v>155700</v>
      </c>
      <c r="GD55" s="54">
        <v>163950</v>
      </c>
      <c r="GE55" s="54">
        <v>174300</v>
      </c>
      <c r="GF55" s="54">
        <v>128100</v>
      </c>
      <c r="GG55" s="54">
        <v>26700</v>
      </c>
      <c r="GH55" s="54">
        <v>11550</v>
      </c>
      <c r="GI55" s="54">
        <v>22950</v>
      </c>
      <c r="GJ55" s="54"/>
      <c r="GK55" s="54">
        <v>106800</v>
      </c>
      <c r="GL55" s="54">
        <v>86700</v>
      </c>
      <c r="GM55" s="54">
        <f>297000+207450</f>
        <v>504450</v>
      </c>
      <c r="GN55" s="54"/>
      <c r="GO55" s="57"/>
      <c r="GQ55" s="139"/>
      <c r="GR55" s="141"/>
      <c r="GS55" s="60"/>
      <c r="GT55" s="60"/>
      <c r="GU55" s="60">
        <v>177450</v>
      </c>
      <c r="GV55" s="60"/>
      <c r="GW55" s="60"/>
      <c r="GX55" s="60"/>
      <c r="GY55" s="60">
        <v>214650</v>
      </c>
      <c r="GZ55" s="60">
        <v>188700</v>
      </c>
      <c r="HA55" s="60"/>
      <c r="HB55" s="60"/>
      <c r="HC55" s="60">
        <f>889200+214350</f>
        <v>1103550</v>
      </c>
      <c r="HD55" s="60">
        <v>31500</v>
      </c>
      <c r="HE55" s="49">
        <f>52950+199200+297000</f>
        <v>549150</v>
      </c>
      <c r="HF55" s="49"/>
      <c r="HG55" s="60"/>
      <c r="HH55" s="60"/>
      <c r="HI55" s="74"/>
      <c r="HJ55" s="64"/>
      <c r="HK55" s="64">
        <v>71400</v>
      </c>
      <c r="HL55" s="64"/>
      <c r="HM55" s="64">
        <v>263700</v>
      </c>
      <c r="HN55" s="64">
        <v>21900</v>
      </c>
      <c r="HO55" s="64">
        <v>218700</v>
      </c>
      <c r="HP55" s="64"/>
      <c r="HQ55" s="64"/>
      <c r="HR55" s="64"/>
      <c r="HS55" s="64"/>
      <c r="HT55" s="64"/>
      <c r="HU55" s="64"/>
      <c r="HV55" s="64">
        <v>12750</v>
      </c>
      <c r="HW55" s="64">
        <v>88650</v>
      </c>
      <c r="HX55" s="64">
        <v>297000</v>
      </c>
      <c r="HY55" s="65"/>
      <c r="HZ55" s="50"/>
      <c r="IA55" s="73">
        <v>9900</v>
      </c>
      <c r="IB55" s="50">
        <v>4050</v>
      </c>
      <c r="IC55" s="50"/>
      <c r="ID55" s="50">
        <v>11550</v>
      </c>
      <c r="IE55" s="50"/>
      <c r="IF55" s="50"/>
      <c r="IG55" s="50"/>
      <c r="IH55" s="50"/>
      <c r="II55" s="50"/>
      <c r="IK55" s="147" t="s">
        <v>38</v>
      </c>
    </row>
    <row r="56" spans="1:245" s="12" customFormat="1" ht="19.5" thickBot="1" x14ac:dyDescent="0.3">
      <c r="A56" s="12" t="s">
        <v>6</v>
      </c>
      <c r="B56" s="36">
        <f>B55-B54</f>
        <v>-3055600</v>
      </c>
      <c r="AO56" s="41"/>
      <c r="BQ56" s="66" t="s">
        <v>40</v>
      </c>
      <c r="BR56" s="67">
        <f>SUM(BA55:BR55)-SUM(BA54:BR54)</f>
        <v>-1247800</v>
      </c>
      <c r="CI56" s="66" t="s">
        <v>40</v>
      </c>
      <c r="CJ56" s="67">
        <f>SUM(BU55:CK55)-SUM(BU54:CK54)</f>
        <v>-923350</v>
      </c>
      <c r="DA56" s="66" t="s">
        <v>40</v>
      </c>
      <c r="DB56" s="67">
        <f>SUM(CM55:DB55)-SUM(CM54:DB54)</f>
        <v>115750</v>
      </c>
      <c r="DS56" s="66" t="s">
        <v>40</v>
      </c>
      <c r="DT56" s="67">
        <f>SUM(DC55:DU55)-SUM(DC54:DU54)</f>
        <v>-414700</v>
      </c>
      <c r="EK56" s="66" t="s">
        <v>39</v>
      </c>
      <c r="EL56" s="67">
        <f>SUM(DW55:EL55)-SUM(DW54:EL54)</f>
        <v>-234250</v>
      </c>
      <c r="FC56" s="66" t="s">
        <v>39</v>
      </c>
      <c r="FD56" s="67">
        <f>SUM(EO55:FD55)-SUM(EO54:FD54)</f>
        <v>42200</v>
      </c>
      <c r="FU56" s="66" t="s">
        <v>39</v>
      </c>
      <c r="FV56" s="67">
        <f>SUM(FG55:FV55)-SUM(FG54:FV54)</f>
        <v>-21850</v>
      </c>
      <c r="GM56" s="66" t="s">
        <v>39</v>
      </c>
      <c r="GN56" s="67">
        <f>SUM(FY55:GO55)-SUM(FY54:GO54)</f>
        <v>161200</v>
      </c>
      <c r="GR56" s="49"/>
      <c r="GS56" s="49"/>
      <c r="GT56" s="49"/>
      <c r="GU56" s="49"/>
      <c r="GV56" s="49"/>
      <c r="GW56" s="49"/>
      <c r="GX56" s="49"/>
      <c r="GY56" s="49"/>
      <c r="GZ56" s="49"/>
      <c r="HA56" s="49"/>
      <c r="HB56" s="49"/>
      <c r="HC56" s="49"/>
      <c r="HD56" s="49"/>
      <c r="HE56" s="68" t="s">
        <v>39</v>
      </c>
      <c r="HF56" s="114">
        <f>SUM(GQ55:HH55)-SUM(GQ54:HH54)</f>
        <v>1005000</v>
      </c>
      <c r="HG56" s="49"/>
      <c r="HH56" s="49"/>
      <c r="HI56" s="49"/>
      <c r="HJ56" s="50"/>
      <c r="HK56" s="50"/>
      <c r="HL56" s="50"/>
      <c r="HM56" s="50"/>
      <c r="HN56" s="50"/>
      <c r="HO56" s="50"/>
      <c r="HP56" s="50"/>
      <c r="HQ56" s="50"/>
      <c r="HR56" s="50"/>
      <c r="HS56" s="50"/>
      <c r="HT56" s="50"/>
      <c r="HU56" s="50"/>
      <c r="HV56" s="50"/>
      <c r="HW56" s="50"/>
      <c r="HX56" s="50"/>
      <c r="HY56" s="69" t="s">
        <v>57</v>
      </c>
      <c r="HZ56" s="35">
        <f>SUM(HI55:HY55)-SUM(HI54:HY54)</f>
        <v>-579900</v>
      </c>
      <c r="IA56" s="50"/>
      <c r="IB56" s="50"/>
      <c r="IC56" s="50"/>
      <c r="ID56" s="50"/>
      <c r="IE56" s="50"/>
      <c r="IF56" s="50"/>
      <c r="IG56" s="50"/>
      <c r="IH56" s="50"/>
      <c r="II56" s="50"/>
      <c r="IK56" s="150" t="s">
        <v>87</v>
      </c>
    </row>
    <row r="57" spans="1:245" ht="15.75" thickBot="1" x14ac:dyDescent="0.3">
      <c r="A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2"/>
      <c r="AL57" s="12"/>
      <c r="AM57" s="12"/>
      <c r="AN57" s="12"/>
      <c r="AO57" s="41"/>
      <c r="AP57" s="12"/>
      <c r="AQ57" s="12"/>
      <c r="AR57" s="12"/>
      <c r="AS57" s="12"/>
      <c r="AT57" s="12"/>
      <c r="AU57" s="12"/>
      <c r="AV57" s="12"/>
      <c r="AW57" s="12"/>
      <c r="AX57" s="12"/>
      <c r="AY57" s="12"/>
      <c r="AZ57" s="12"/>
      <c r="BA57" s="12"/>
      <c r="BB57" s="12"/>
      <c r="BC57" s="12"/>
      <c r="BD57" s="12"/>
      <c r="BE57" s="12"/>
      <c r="BF57" s="12"/>
      <c r="BQ57" s="12"/>
      <c r="BR57" s="70">
        <f>SUM(BA55:BR55)/SUM(BA54:BR54)</f>
        <v>0.4318497438816164</v>
      </c>
      <c r="CI57" s="12"/>
      <c r="CJ57" s="70">
        <f>SUM(BU55:CK55)/SUM(BU54:CK54)</f>
        <v>0.45887420517478827</v>
      </c>
      <c r="DA57" s="12"/>
      <c r="DB57" s="70">
        <f>SUM(CM55:DB55)/SUM(CM54:DB54)</f>
        <v>1.1248786276836769</v>
      </c>
      <c r="DS57" s="12"/>
      <c r="DT57" s="70">
        <f>SUM(DC55:DU55)/SUM(DC54:DU54)</f>
        <v>0.65980311730926988</v>
      </c>
      <c r="EK57" s="12"/>
      <c r="EL57" s="70">
        <f>SUM(DW55:EL55)/SUM(DW54:EL54)</f>
        <v>0.82775735294117647</v>
      </c>
      <c r="FC57" s="12"/>
      <c r="FD57" s="70">
        <f>SUM(EO55:FD55)/SUM(EO54:FD54)</f>
        <v>1.0354026845637583</v>
      </c>
      <c r="FU57" s="12"/>
      <c r="FV57" s="70">
        <f>SUM(FG55:FV55)/SUM(FG54:FV54)</f>
        <v>0.98203125000000002</v>
      </c>
      <c r="GM57" s="12"/>
      <c r="GN57" s="70">
        <f>SUM(FY55:GO55)/SUM(FY54:GO54)</f>
        <v>1.1321311475409837</v>
      </c>
      <c r="GR57" s="7"/>
      <c r="GS57" s="7"/>
      <c r="GT57" s="7"/>
      <c r="GU57" s="7"/>
      <c r="GV57" s="7"/>
      <c r="GW57" s="7"/>
      <c r="GX57" s="7"/>
      <c r="GY57" s="7"/>
      <c r="GZ57" s="7"/>
      <c r="HA57" s="7"/>
      <c r="HB57" s="7"/>
      <c r="HC57" s="7"/>
      <c r="HD57" s="7"/>
      <c r="HE57" s="37"/>
      <c r="HF57" s="38">
        <f>SUM(GQ55:HH55)/SUM(GQ54:HH54)</f>
        <v>1.7976190476190477</v>
      </c>
      <c r="HG57" s="7"/>
      <c r="HH57" s="7"/>
      <c r="HI57" s="7"/>
      <c r="HJ57" s="8"/>
      <c r="HK57" s="8"/>
      <c r="HL57" s="8"/>
      <c r="HM57" s="8"/>
      <c r="HN57" s="8"/>
      <c r="HO57" s="8"/>
      <c r="HP57" s="8"/>
      <c r="HQ57" s="8"/>
      <c r="HR57" s="8"/>
      <c r="HS57" s="8"/>
      <c r="HT57" s="8"/>
      <c r="HU57" s="8"/>
      <c r="HV57" s="8"/>
      <c r="HW57" s="8"/>
      <c r="HX57" s="8"/>
      <c r="HY57" s="39"/>
      <c r="HZ57" s="40">
        <f>SUM(HI55:HY55)/SUM(HI54:HY54)</f>
        <v>0.62683397683397679</v>
      </c>
      <c r="IA57" s="8"/>
      <c r="IB57" s="8"/>
      <c r="IC57" s="8"/>
      <c r="ID57" s="8"/>
      <c r="IE57" s="8"/>
      <c r="IF57" s="8"/>
      <c r="IG57" s="8"/>
      <c r="IH57" s="8"/>
      <c r="II57" s="8"/>
      <c r="IK57" s="11"/>
    </row>
    <row r="58" spans="1:245" ht="15" x14ac:dyDescent="0.25">
      <c r="A58" s="9" t="s">
        <v>58</v>
      </c>
      <c r="B58" s="10">
        <f>B60/B59</f>
        <v>1.1309945219492958</v>
      </c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  <c r="AL58" s="12"/>
      <c r="AM58" s="12"/>
      <c r="AN58" s="12"/>
      <c r="AO58" s="41"/>
      <c r="AP58" s="12"/>
      <c r="AQ58" s="12"/>
      <c r="AR58" s="12"/>
      <c r="AS58" s="12"/>
      <c r="AT58" s="12"/>
      <c r="AU58" s="12"/>
      <c r="AV58" s="12"/>
      <c r="AW58" s="12"/>
      <c r="AX58" s="12"/>
      <c r="AY58" s="12"/>
      <c r="AZ58" s="12"/>
      <c r="BA58" s="12"/>
      <c r="BB58" s="12"/>
      <c r="BC58" s="12"/>
      <c r="BD58" s="12"/>
      <c r="BE58" s="12"/>
      <c r="BF58" s="12"/>
      <c r="GR58" s="7"/>
      <c r="GS58" s="7"/>
      <c r="GT58" s="7"/>
      <c r="GU58" s="7"/>
      <c r="GV58" s="7"/>
      <c r="GW58" s="7"/>
      <c r="GX58" s="7"/>
      <c r="GY58" s="7"/>
      <c r="GZ58" s="7"/>
      <c r="HA58" s="7"/>
      <c r="HB58" s="7"/>
      <c r="HC58" s="7"/>
      <c r="HD58" s="7"/>
      <c r="HE58" s="7"/>
      <c r="HF58" s="7"/>
      <c r="HG58" s="7"/>
      <c r="HH58" s="7"/>
      <c r="HI58" s="7"/>
      <c r="HJ58" s="8"/>
      <c r="HK58" s="8"/>
      <c r="HL58" s="8"/>
      <c r="HM58" s="8"/>
      <c r="HN58" s="8"/>
      <c r="HO58" s="8"/>
      <c r="HP58" s="8"/>
      <c r="HQ58" s="8"/>
      <c r="HR58" s="8"/>
      <c r="HS58" s="8"/>
      <c r="HT58" s="8"/>
      <c r="HU58" s="8"/>
      <c r="HV58" s="8"/>
      <c r="HW58" s="8"/>
      <c r="HX58" s="8"/>
      <c r="HY58" s="8"/>
      <c r="HZ58" s="8"/>
      <c r="IA58" s="8"/>
      <c r="IB58" s="8"/>
      <c r="IC58" s="8"/>
      <c r="ID58" s="8"/>
      <c r="IE58" s="8"/>
      <c r="IF58" s="8"/>
      <c r="IG58" s="8"/>
      <c r="IH58" s="8"/>
      <c r="II58" s="8"/>
      <c r="IK58" s="11"/>
    </row>
    <row r="59" spans="1:245" s="12" customFormat="1" x14ac:dyDescent="0.2">
      <c r="A59" s="12" t="s">
        <v>2</v>
      </c>
      <c r="B59" s="13">
        <f>SUM(C59:ZZ59)</f>
        <v>12805650</v>
      </c>
      <c r="C59" s="44">
        <v>200000</v>
      </c>
      <c r="D59" s="42">
        <v>196000</v>
      </c>
      <c r="E59" s="42">
        <v>148000</v>
      </c>
      <c r="F59" s="42">
        <v>139000</v>
      </c>
      <c r="G59" s="42">
        <v>139000</v>
      </c>
      <c r="H59" s="42">
        <v>139000</v>
      </c>
      <c r="I59" s="42">
        <v>139000</v>
      </c>
      <c r="J59" s="42">
        <v>110000</v>
      </c>
      <c r="K59" s="42">
        <v>105000</v>
      </c>
      <c r="L59" s="42">
        <v>105000</v>
      </c>
      <c r="M59" s="42">
        <v>143000</v>
      </c>
      <c r="N59" s="42">
        <v>143000</v>
      </c>
      <c r="O59" s="42">
        <v>143000</v>
      </c>
      <c r="P59" s="42">
        <v>96000</v>
      </c>
      <c r="Q59" s="42">
        <v>96000</v>
      </c>
      <c r="R59" s="43">
        <v>96000</v>
      </c>
      <c r="T59" s="44">
        <v>96000</v>
      </c>
      <c r="U59" s="42">
        <v>115000</v>
      </c>
      <c r="V59" s="42">
        <v>109000</v>
      </c>
      <c r="W59" s="42">
        <v>82000</v>
      </c>
      <c r="X59" s="42">
        <v>57000</v>
      </c>
      <c r="Y59" s="42">
        <v>57000</v>
      </c>
      <c r="Z59" s="42">
        <v>164000</v>
      </c>
      <c r="AA59" s="42">
        <v>164000</v>
      </c>
      <c r="AB59" s="42">
        <v>164000</v>
      </c>
      <c r="AC59" s="42">
        <v>164000</v>
      </c>
      <c r="AD59" s="42">
        <v>164000</v>
      </c>
      <c r="AE59" s="42">
        <v>164000</v>
      </c>
      <c r="AF59" s="42">
        <v>116000</v>
      </c>
      <c r="AG59" s="42">
        <v>62000</v>
      </c>
      <c r="AH59" s="42">
        <v>62000</v>
      </c>
      <c r="AI59" s="43">
        <v>62000</v>
      </c>
      <c r="AJ59" s="44">
        <v>62000</v>
      </c>
      <c r="AK59" s="42">
        <v>62000</v>
      </c>
      <c r="AL59" s="42">
        <v>62000</v>
      </c>
      <c r="AM59" s="42">
        <v>62000</v>
      </c>
      <c r="AN59" s="42">
        <v>181000</v>
      </c>
      <c r="AO59" s="45">
        <v>181000</v>
      </c>
      <c r="AP59" s="42">
        <v>189000</v>
      </c>
      <c r="AQ59" s="42">
        <v>89300</v>
      </c>
      <c r="AR59" s="42">
        <v>84000</v>
      </c>
      <c r="AS59" s="42">
        <v>84000</v>
      </c>
      <c r="AT59" s="42">
        <v>84000</v>
      </c>
      <c r="AU59" s="42">
        <v>84000</v>
      </c>
      <c r="AV59" s="42">
        <v>84000</v>
      </c>
      <c r="AW59" s="42">
        <v>84000</v>
      </c>
      <c r="AX59" s="42">
        <v>84000</v>
      </c>
      <c r="AY59" s="42">
        <v>270000</v>
      </c>
      <c r="AZ59" s="42">
        <v>270000</v>
      </c>
      <c r="BA59" s="42">
        <v>270000</v>
      </c>
      <c r="BB59" s="43">
        <v>270000</v>
      </c>
      <c r="BF59" s="44">
        <v>96500</v>
      </c>
      <c r="BG59" s="42">
        <v>75700</v>
      </c>
      <c r="BH59" s="42">
        <v>40550</v>
      </c>
      <c r="BI59" s="42">
        <v>42150</v>
      </c>
      <c r="BJ59" s="42">
        <v>56450</v>
      </c>
      <c r="BK59" s="42">
        <v>21000</v>
      </c>
      <c r="BL59" s="42">
        <v>21000</v>
      </c>
      <c r="BM59" s="42">
        <v>21000</v>
      </c>
      <c r="BN59" s="42">
        <v>21000</v>
      </c>
      <c r="BO59" s="42">
        <v>21000</v>
      </c>
      <c r="BP59" s="42">
        <v>21000</v>
      </c>
      <c r="BQ59" s="42">
        <v>21000</v>
      </c>
      <c r="BR59" s="42">
        <v>21000</v>
      </c>
      <c r="BS59" s="42">
        <v>21000</v>
      </c>
      <c r="BT59" s="42">
        <v>21000</v>
      </c>
      <c r="BU59" s="43">
        <v>21000</v>
      </c>
      <c r="DI59" s="44">
        <v>21000</v>
      </c>
      <c r="DJ59" s="42">
        <v>21000</v>
      </c>
      <c r="DK59" s="42">
        <v>44000</v>
      </c>
      <c r="DL59" s="42">
        <v>44000</v>
      </c>
      <c r="DM59" s="42">
        <v>44000</v>
      </c>
      <c r="DN59" s="42">
        <v>44000</v>
      </c>
      <c r="DO59" s="42">
        <v>44000</v>
      </c>
      <c r="DP59" s="42">
        <v>44000</v>
      </c>
      <c r="DQ59" s="42">
        <v>44000</v>
      </c>
      <c r="DR59" s="42">
        <v>44000</v>
      </c>
      <c r="DS59" s="42">
        <v>44000</v>
      </c>
      <c r="DT59" s="42">
        <v>44000</v>
      </c>
      <c r="DU59" s="42">
        <v>44000</v>
      </c>
      <c r="DV59" s="42">
        <v>44000</v>
      </c>
      <c r="DW59" s="43">
        <v>44000</v>
      </c>
      <c r="DX59" s="44">
        <v>44000</v>
      </c>
      <c r="DY59" s="42">
        <v>44000</v>
      </c>
      <c r="DZ59" s="42">
        <v>44000</v>
      </c>
      <c r="EA59" s="42">
        <v>44000</v>
      </c>
      <c r="EB59" s="42">
        <v>44000</v>
      </c>
      <c r="EC59" s="42">
        <v>44000</v>
      </c>
      <c r="ED59" s="42">
        <v>44000</v>
      </c>
      <c r="EE59" s="42">
        <v>44000</v>
      </c>
      <c r="EF59" s="42">
        <v>90000</v>
      </c>
      <c r="EG59" s="42">
        <v>90000</v>
      </c>
      <c r="EH59" s="42">
        <v>90000</v>
      </c>
      <c r="EI59" s="42">
        <v>90000</v>
      </c>
      <c r="EJ59" s="42">
        <v>90000</v>
      </c>
      <c r="EK59" s="42">
        <v>87000</v>
      </c>
      <c r="EL59" s="42">
        <v>87000</v>
      </c>
      <c r="EM59" s="42">
        <v>87000</v>
      </c>
      <c r="EN59" s="42">
        <v>87000</v>
      </c>
      <c r="EO59" s="42">
        <v>87000</v>
      </c>
      <c r="EP59" s="43">
        <v>87000</v>
      </c>
      <c r="ES59" s="44">
        <v>87000</v>
      </c>
      <c r="ET59" s="42">
        <v>87000</v>
      </c>
      <c r="EU59" s="42">
        <v>87000</v>
      </c>
      <c r="EV59" s="42">
        <v>43000</v>
      </c>
      <c r="EW59" s="42">
        <v>43000</v>
      </c>
      <c r="EX59" s="42">
        <v>43000</v>
      </c>
      <c r="EY59" s="42">
        <v>43000</v>
      </c>
      <c r="EZ59" s="42">
        <v>43000</v>
      </c>
      <c r="FA59" s="42">
        <v>43000</v>
      </c>
      <c r="FB59" s="42">
        <v>43000</v>
      </c>
      <c r="FC59" s="42">
        <v>43000</v>
      </c>
      <c r="FD59" s="42">
        <v>43000</v>
      </c>
      <c r="FE59" s="42">
        <v>43000</v>
      </c>
      <c r="FF59" s="42">
        <v>43000</v>
      </c>
      <c r="FG59" s="42">
        <v>43000</v>
      </c>
      <c r="FH59" s="43">
        <v>43000</v>
      </c>
      <c r="FI59" s="44">
        <v>43000</v>
      </c>
      <c r="FJ59" s="42"/>
      <c r="FK59" s="42">
        <v>43000</v>
      </c>
      <c r="FL59" s="42">
        <v>43000</v>
      </c>
      <c r="FM59" s="42">
        <v>43000</v>
      </c>
      <c r="FN59" s="42">
        <v>43000</v>
      </c>
      <c r="FO59" s="42">
        <v>43000</v>
      </c>
      <c r="FP59" s="42">
        <v>43000</v>
      </c>
      <c r="FQ59" s="42">
        <v>43000</v>
      </c>
      <c r="FR59" s="42">
        <v>43000</v>
      </c>
      <c r="FS59" s="42">
        <v>43000</v>
      </c>
      <c r="FT59" s="42">
        <v>43000</v>
      </c>
      <c r="FU59" s="42">
        <v>43000</v>
      </c>
      <c r="FV59" s="42">
        <v>43000</v>
      </c>
      <c r="FW59" s="43">
        <v>43000</v>
      </c>
      <c r="FY59" s="44">
        <v>43000</v>
      </c>
      <c r="FZ59" s="42">
        <v>43000</v>
      </c>
      <c r="GA59" s="42">
        <v>43000</v>
      </c>
      <c r="GB59" s="42">
        <v>43000</v>
      </c>
      <c r="GC59" s="42">
        <v>43000</v>
      </c>
      <c r="GD59" s="42">
        <v>43000</v>
      </c>
      <c r="GE59" s="42">
        <v>43000</v>
      </c>
      <c r="GF59" s="42">
        <v>43000</v>
      </c>
      <c r="GG59" s="42">
        <v>43000</v>
      </c>
      <c r="GH59" s="42">
        <v>43000</v>
      </c>
      <c r="GI59" s="42">
        <v>43000</v>
      </c>
      <c r="GJ59" s="42">
        <v>43000</v>
      </c>
      <c r="GK59" s="42">
        <v>43000</v>
      </c>
      <c r="GL59" s="42">
        <v>43000</v>
      </c>
      <c r="GM59" s="42">
        <v>43000</v>
      </c>
      <c r="GN59" s="42">
        <v>43000</v>
      </c>
      <c r="GO59" s="43">
        <v>43000</v>
      </c>
      <c r="GQ59" s="136">
        <v>43000</v>
      </c>
      <c r="GR59" s="47">
        <v>43000</v>
      </c>
      <c r="GS59" s="47">
        <v>43000</v>
      </c>
      <c r="GT59" s="47">
        <v>43000</v>
      </c>
      <c r="GU59" s="47">
        <v>43000</v>
      </c>
      <c r="GV59" s="47">
        <v>43000</v>
      </c>
      <c r="GW59" s="47">
        <v>43000</v>
      </c>
      <c r="GX59" s="47">
        <v>43000</v>
      </c>
      <c r="GY59" s="47">
        <v>43000</v>
      </c>
      <c r="GZ59" s="47">
        <v>43000</v>
      </c>
      <c r="HA59" s="47">
        <v>43000</v>
      </c>
      <c r="HB59" s="47">
        <v>43000</v>
      </c>
      <c r="HC59" s="47">
        <v>43000</v>
      </c>
      <c r="HD59" s="47">
        <v>43000</v>
      </c>
      <c r="HE59" s="47">
        <v>43000</v>
      </c>
      <c r="HF59" s="47">
        <v>43000</v>
      </c>
      <c r="HG59" s="47">
        <v>43000</v>
      </c>
      <c r="HH59" s="47">
        <v>43000</v>
      </c>
      <c r="HI59" s="51">
        <v>43000</v>
      </c>
      <c r="HJ59" s="52">
        <v>43000</v>
      </c>
      <c r="HK59" s="52">
        <v>43000</v>
      </c>
      <c r="HL59" s="52">
        <v>43000</v>
      </c>
      <c r="HM59" s="52">
        <v>43000</v>
      </c>
      <c r="HN59" s="52">
        <v>43000</v>
      </c>
      <c r="HO59" s="52">
        <v>43000</v>
      </c>
      <c r="HP59" s="52">
        <v>43000</v>
      </c>
      <c r="HQ59" s="52">
        <v>43000</v>
      </c>
      <c r="HR59" s="52">
        <v>43000</v>
      </c>
      <c r="HS59" s="52">
        <v>43000</v>
      </c>
      <c r="HT59" s="52">
        <v>43000</v>
      </c>
      <c r="HU59" s="52">
        <v>43000</v>
      </c>
      <c r="HV59" s="52">
        <v>43000</v>
      </c>
      <c r="HW59" s="52">
        <v>43000</v>
      </c>
      <c r="HX59" s="52">
        <v>43000</v>
      </c>
      <c r="HY59" s="53">
        <v>43000</v>
      </c>
      <c r="HZ59" s="50"/>
      <c r="IA59" s="50"/>
      <c r="IB59" s="50"/>
      <c r="IC59" s="50"/>
      <c r="ID59" s="50"/>
      <c r="IE59" s="50"/>
      <c r="IF59" s="50"/>
      <c r="IG59" s="73">
        <v>43000</v>
      </c>
      <c r="IH59" s="50">
        <v>43000</v>
      </c>
      <c r="II59" s="50">
        <v>43000</v>
      </c>
      <c r="IJ59" s="12">
        <v>43000</v>
      </c>
      <c r="IK59" s="23" t="s">
        <v>89</v>
      </c>
    </row>
    <row r="60" spans="1:245" s="12" customFormat="1" ht="15" thickBot="1" x14ac:dyDescent="0.25">
      <c r="A60" s="12" t="s">
        <v>4</v>
      </c>
      <c r="B60" s="13">
        <f>SUM(C60:ZZ60)</f>
        <v>14483120</v>
      </c>
      <c r="C60" s="56">
        <v>76500</v>
      </c>
      <c r="D60" s="54">
        <v>56700</v>
      </c>
      <c r="E60" s="54">
        <v>51150</v>
      </c>
      <c r="F60" s="54">
        <v>75150</v>
      </c>
      <c r="G60" s="54">
        <v>196200</v>
      </c>
      <c r="H60" s="54">
        <v>36750</v>
      </c>
      <c r="I60" s="54">
        <v>155250</v>
      </c>
      <c r="J60" s="54">
        <v>570000</v>
      </c>
      <c r="K60" s="54">
        <f>33450+293550</f>
        <v>327000</v>
      </c>
      <c r="L60" s="54">
        <v>62100</v>
      </c>
      <c r="M60" s="54">
        <v>90900</v>
      </c>
      <c r="N60" s="54">
        <v>450</v>
      </c>
      <c r="O60" s="54">
        <v>59850</v>
      </c>
      <c r="P60" s="54">
        <f>27750+1181000</f>
        <v>1208750</v>
      </c>
      <c r="Q60" s="54"/>
      <c r="R60" s="57"/>
      <c r="T60" s="56">
        <v>136000</v>
      </c>
      <c r="U60" s="54"/>
      <c r="V60" s="54"/>
      <c r="W60" s="54">
        <v>55500</v>
      </c>
      <c r="X60" s="54">
        <v>20250</v>
      </c>
      <c r="Y60" s="54"/>
      <c r="Z60" s="54">
        <v>626700</v>
      </c>
      <c r="AA60" s="54"/>
      <c r="AB60" s="54">
        <v>220950</v>
      </c>
      <c r="AC60" s="54">
        <v>20550</v>
      </c>
      <c r="AD60" s="54">
        <v>24150</v>
      </c>
      <c r="AE60" s="54"/>
      <c r="AF60" s="54">
        <v>38250</v>
      </c>
      <c r="AG60" s="54">
        <f>334050+682500</f>
        <v>1016550</v>
      </c>
      <c r="AH60" s="54">
        <f>65550+1181000</f>
        <v>1246550</v>
      </c>
      <c r="AI60" s="57"/>
      <c r="AJ60" s="56"/>
      <c r="AK60" s="54"/>
      <c r="AL60" s="54">
        <v>28650</v>
      </c>
      <c r="AM60" s="54">
        <v>22800</v>
      </c>
      <c r="AN60" s="54">
        <v>25350</v>
      </c>
      <c r="AO60" s="58">
        <v>40800</v>
      </c>
      <c r="AP60" s="54">
        <v>48000</v>
      </c>
      <c r="AQ60" s="54">
        <v>416100</v>
      </c>
      <c r="AR60" s="54"/>
      <c r="AS60" s="54"/>
      <c r="AT60" s="54">
        <v>57300</v>
      </c>
      <c r="AU60" s="54"/>
      <c r="AV60" s="54">
        <v>512400</v>
      </c>
      <c r="AW60" s="54">
        <v>66750</v>
      </c>
      <c r="AX60" s="54">
        <v>313050</v>
      </c>
      <c r="AY60" s="54"/>
      <c r="AZ60" s="54">
        <v>1181000</v>
      </c>
      <c r="BA60" s="54"/>
      <c r="BB60" s="57"/>
      <c r="BF60" s="56">
        <v>10350</v>
      </c>
      <c r="BG60" s="54"/>
      <c r="BH60" s="54"/>
      <c r="BI60" s="54">
        <v>11100</v>
      </c>
      <c r="BJ60" s="54">
        <v>9300</v>
      </c>
      <c r="BK60" s="54">
        <v>188250</v>
      </c>
      <c r="BL60" s="54">
        <v>71250</v>
      </c>
      <c r="BM60" s="54"/>
      <c r="BN60" s="54">
        <v>58350</v>
      </c>
      <c r="BO60" s="54"/>
      <c r="BP60" s="54"/>
      <c r="BQ60" s="54">
        <v>123150</v>
      </c>
      <c r="BR60" s="54">
        <v>29550</v>
      </c>
      <c r="BS60" s="54">
        <v>25950</v>
      </c>
      <c r="BT60" s="54">
        <f>86100+560000</f>
        <v>646100</v>
      </c>
      <c r="BU60" s="57"/>
      <c r="DI60" s="56">
        <v>5850</v>
      </c>
      <c r="DJ60" s="54">
        <v>1950</v>
      </c>
      <c r="DK60" s="54">
        <v>3900</v>
      </c>
      <c r="DL60" s="54">
        <v>1200</v>
      </c>
      <c r="DM60" s="54">
        <v>33600</v>
      </c>
      <c r="DN60" s="54">
        <v>5850</v>
      </c>
      <c r="DO60" s="54">
        <v>45450</v>
      </c>
      <c r="DP60" s="54">
        <f>43500+27900</f>
        <v>71400</v>
      </c>
      <c r="DQ60" s="54">
        <v>11400</v>
      </c>
      <c r="DR60" s="54">
        <v>42900</v>
      </c>
      <c r="DS60" s="54">
        <v>29850</v>
      </c>
      <c r="DT60" s="54">
        <v>34200</v>
      </c>
      <c r="DU60" s="54">
        <f>8250+15150</f>
        <v>23400</v>
      </c>
      <c r="DV60" s="54">
        <f>3600+50550+234000</f>
        <v>288150</v>
      </c>
      <c r="DW60" s="57">
        <f>3900+45900</f>
        <v>49800</v>
      </c>
      <c r="DX60" s="56"/>
      <c r="DY60" s="54"/>
      <c r="DZ60" s="54"/>
      <c r="EA60" s="54"/>
      <c r="EB60" s="54"/>
      <c r="EC60" s="54">
        <f>7500+5250</f>
        <v>12750</v>
      </c>
      <c r="ED60" s="54">
        <v>6150</v>
      </c>
      <c r="EE60" s="54">
        <v>3600</v>
      </c>
      <c r="EF60" s="54">
        <v>72600</v>
      </c>
      <c r="EG60" s="54">
        <v>76050</v>
      </c>
      <c r="EH60" s="54">
        <v>62850</v>
      </c>
      <c r="EI60" s="54"/>
      <c r="EJ60" s="54">
        <v>11700</v>
      </c>
      <c r="EK60" s="54">
        <v>64800</v>
      </c>
      <c r="EL60" s="54"/>
      <c r="EM60" s="54"/>
      <c r="EN60" s="54">
        <v>14400</v>
      </c>
      <c r="EO60" s="54">
        <v>234000</v>
      </c>
      <c r="EP60" s="57"/>
      <c r="ES60" s="56">
        <v>3900</v>
      </c>
      <c r="ET60" s="54">
        <v>3000</v>
      </c>
      <c r="EU60" s="54"/>
      <c r="EV60" s="54">
        <v>6000</v>
      </c>
      <c r="EW60" s="54">
        <v>10350</v>
      </c>
      <c r="EX60" s="54">
        <v>26700</v>
      </c>
      <c r="EY60" s="54">
        <v>46500</v>
      </c>
      <c r="EZ60" s="54">
        <v>81150</v>
      </c>
      <c r="FA60" s="54">
        <v>59100</v>
      </c>
      <c r="FB60" s="54">
        <v>74400</v>
      </c>
      <c r="FC60" s="54">
        <v>23700</v>
      </c>
      <c r="FD60" s="54">
        <v>48150</v>
      </c>
      <c r="FE60" s="54">
        <v>66600</v>
      </c>
      <c r="FF60" s="54">
        <v>9000</v>
      </c>
      <c r="FG60" s="54">
        <f>234000+107250</f>
        <v>341250</v>
      </c>
      <c r="FH60" s="57"/>
      <c r="FI60" s="56"/>
      <c r="FJ60" s="54">
        <v>15000</v>
      </c>
      <c r="FK60" s="54">
        <v>17250</v>
      </c>
      <c r="FL60" s="54"/>
      <c r="FM60" s="54"/>
      <c r="FN60" s="54">
        <v>40050</v>
      </c>
      <c r="FO60" s="54">
        <v>35850</v>
      </c>
      <c r="FP60" s="54">
        <v>27600</v>
      </c>
      <c r="FQ60" s="54">
        <v>20550</v>
      </c>
      <c r="FR60" s="54">
        <v>9750</v>
      </c>
      <c r="FS60" s="54">
        <v>30900</v>
      </c>
      <c r="FT60" s="54">
        <v>52200</v>
      </c>
      <c r="FU60" s="54">
        <f>147000+46950</f>
        <v>193950</v>
      </c>
      <c r="FV60" s="54"/>
      <c r="FW60" s="57"/>
      <c r="FY60" s="56"/>
      <c r="FZ60" s="54"/>
      <c r="GA60" s="54"/>
      <c r="GB60" s="54"/>
      <c r="GC60" s="54">
        <v>39150</v>
      </c>
      <c r="GD60" s="54">
        <v>20100</v>
      </c>
      <c r="GE60" s="54"/>
      <c r="GF60" s="54">
        <v>17550</v>
      </c>
      <c r="GG60" s="54">
        <v>35850</v>
      </c>
      <c r="GH60" s="54">
        <v>27750</v>
      </c>
      <c r="GI60" s="54">
        <v>13800</v>
      </c>
      <c r="GJ60" s="54">
        <v>27300</v>
      </c>
      <c r="GK60" s="54">
        <f>4650+68850</f>
        <v>73500</v>
      </c>
      <c r="GL60" s="54">
        <f>36750+106050</f>
        <v>142800</v>
      </c>
      <c r="GM60" s="54">
        <f>147000+1950+16500</f>
        <v>165450</v>
      </c>
      <c r="GN60" s="54"/>
      <c r="GO60" s="57"/>
      <c r="GQ60" s="139">
        <v>4050</v>
      </c>
      <c r="GR60" s="60">
        <v>6900</v>
      </c>
      <c r="GS60" s="60">
        <v>3600</v>
      </c>
      <c r="GT60" s="60">
        <f>14850+7350</f>
        <v>22200</v>
      </c>
      <c r="GU60" s="60">
        <v>1950</v>
      </c>
      <c r="GV60" s="60"/>
      <c r="GW60" s="60"/>
      <c r="GX60" s="60">
        <v>108300</v>
      </c>
      <c r="GY60" s="60">
        <v>83700</v>
      </c>
      <c r="GZ60" s="60">
        <v>27600</v>
      </c>
      <c r="HA60" s="60">
        <v>43950</v>
      </c>
      <c r="HB60" s="60">
        <v>31650</v>
      </c>
      <c r="HC60" s="60">
        <f>4200+24300</f>
        <v>28500</v>
      </c>
      <c r="HD60" s="60">
        <f>17550+63900</f>
        <v>81450</v>
      </c>
      <c r="HE60" s="49">
        <f>147000+45600</f>
        <v>192600</v>
      </c>
      <c r="HF60" s="49"/>
      <c r="HG60" s="60"/>
      <c r="HH60" s="60">
        <v>150000</v>
      </c>
      <c r="HI60" s="74">
        <v>3000</v>
      </c>
      <c r="HJ60" s="64">
        <v>2550</v>
      </c>
      <c r="HK60" s="64">
        <v>6750</v>
      </c>
      <c r="HL60" s="64">
        <f>4970+2700</f>
        <v>7670</v>
      </c>
      <c r="HM60" s="64">
        <v>6000</v>
      </c>
      <c r="HN60" s="64">
        <v>9000</v>
      </c>
      <c r="HO60" s="64"/>
      <c r="HP60" s="64"/>
      <c r="HQ60" s="64">
        <v>45900</v>
      </c>
      <c r="HR60" s="64"/>
      <c r="HS60" s="64">
        <f>29400+35250</f>
        <v>64650</v>
      </c>
      <c r="HT60" s="64">
        <f>30450+1800</f>
        <v>32250</v>
      </c>
      <c r="HU60" s="64">
        <v>1650</v>
      </c>
      <c r="HV60" s="64"/>
      <c r="HW60" s="64">
        <f>30300+54750</f>
        <v>85050</v>
      </c>
      <c r="HX60" s="64">
        <v>147000</v>
      </c>
      <c r="HY60" s="65"/>
      <c r="HZ60" s="50"/>
      <c r="IA60" s="50"/>
      <c r="IB60" s="50"/>
      <c r="IC60" s="50"/>
      <c r="ID60" s="50"/>
      <c r="IE60" s="50"/>
      <c r="IF60" s="50"/>
      <c r="IG60" s="73">
        <v>2100</v>
      </c>
      <c r="IH60" s="50">
        <v>9450</v>
      </c>
      <c r="II60" s="50"/>
      <c r="IJ60" s="12">
        <v>1950</v>
      </c>
      <c r="IK60" s="23" t="s">
        <v>23</v>
      </c>
    </row>
    <row r="61" spans="1:245" s="12" customFormat="1" ht="15" x14ac:dyDescent="0.25">
      <c r="A61" s="12" t="s">
        <v>6</v>
      </c>
      <c r="B61" s="31">
        <f>B60-B59</f>
        <v>1677470</v>
      </c>
      <c r="P61" s="66" t="s">
        <v>21</v>
      </c>
      <c r="Q61" s="67">
        <f>SUM(C60:R60)-SUM(C59:R59)</f>
        <v>829750</v>
      </c>
      <c r="AH61" s="66" t="s">
        <v>21</v>
      </c>
      <c r="AI61" s="67">
        <f>SUM(T60:AI60)-SUM(T59:AI59)</f>
        <v>1603450</v>
      </c>
      <c r="AO61" s="41"/>
      <c r="AZ61" s="66" t="s">
        <v>59</v>
      </c>
      <c r="BA61" s="67">
        <f>SUM(AJ60:BB60)-SUM(AJ59:BB59)</f>
        <v>155900</v>
      </c>
      <c r="BT61" s="66" t="s">
        <v>44</v>
      </c>
      <c r="BU61" s="67">
        <f>SUM(BF60:BU60)-SUM(BF59:BU59)</f>
        <v>631000</v>
      </c>
      <c r="DV61" s="66" t="s">
        <v>45</v>
      </c>
      <c r="DW61" s="67">
        <f>SUM(DD60:DW60)-SUM(DD59:DW59)</f>
        <v>34900</v>
      </c>
      <c r="EO61" s="66" t="s">
        <v>27</v>
      </c>
      <c r="EP61" s="67">
        <f>SUM(DX60:EP60)-SUM(DX59:EP59)</f>
        <v>-765100</v>
      </c>
      <c r="FG61" s="66" t="s">
        <v>27</v>
      </c>
      <c r="FH61" s="67">
        <f>SUM(ES60:FH60)-SUM(ES59:FH59)</f>
        <v>-20200</v>
      </c>
      <c r="FU61" s="66" t="s">
        <v>13</v>
      </c>
      <c r="FV61" s="67">
        <f>SUM(FI60:FW60)-SUM(FI59:FW59)</f>
        <v>-158900</v>
      </c>
      <c r="GM61" s="66" t="s">
        <v>13</v>
      </c>
      <c r="GN61" s="67">
        <f>SUM(FY60:GO60)-SUM(FY59:GO59)</f>
        <v>-167750</v>
      </c>
      <c r="GR61" s="49"/>
      <c r="GS61" s="49"/>
      <c r="GT61" s="49"/>
      <c r="GU61" s="49"/>
      <c r="GV61" s="49"/>
      <c r="GW61" s="49"/>
      <c r="GX61" s="49"/>
      <c r="GY61" s="49"/>
      <c r="GZ61" s="49"/>
      <c r="HA61" s="49"/>
      <c r="HB61" s="49"/>
      <c r="HC61" s="49"/>
      <c r="HD61" s="49"/>
      <c r="HE61" s="68" t="s">
        <v>60</v>
      </c>
      <c r="HF61" s="33">
        <f>SUM(GQ60:HH60)-SUM(GQ59:HH59)</f>
        <v>12450</v>
      </c>
      <c r="HG61" s="49"/>
      <c r="HH61" s="49"/>
      <c r="HI61" s="49"/>
      <c r="HJ61" s="50"/>
      <c r="HK61" s="50"/>
      <c r="HL61" s="50"/>
      <c r="HM61" s="50"/>
      <c r="HN61" s="50"/>
      <c r="HO61" s="50"/>
      <c r="HP61" s="50"/>
      <c r="HQ61" s="50"/>
      <c r="HR61" s="50"/>
      <c r="HS61" s="50"/>
      <c r="HT61" s="50"/>
      <c r="HU61" s="50"/>
      <c r="HV61" s="50"/>
      <c r="HW61" s="50"/>
      <c r="HX61" s="50"/>
      <c r="HY61" s="69" t="s">
        <v>60</v>
      </c>
      <c r="HZ61" s="35">
        <f>SUM(HI60:HY60)-SUM(HI59:HY59)</f>
        <v>-319530</v>
      </c>
      <c r="IA61" s="50"/>
      <c r="IB61" s="50"/>
      <c r="IC61" s="50"/>
      <c r="ID61" s="50"/>
      <c r="IE61" s="50"/>
      <c r="IF61" s="50"/>
      <c r="IG61" s="50"/>
      <c r="IH61" s="50"/>
      <c r="II61" s="50"/>
      <c r="IK61" s="23" t="s">
        <v>81</v>
      </c>
    </row>
    <row r="62" spans="1:245" ht="15" x14ac:dyDescent="0.25">
      <c r="A62" s="115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70">
        <f>SUM(C60:R60)/SUM(C59:R59)</f>
        <v>1.3882779597566681</v>
      </c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70">
        <f>SUM(T60:AI60)/SUM(T59:AI59)</f>
        <v>1.8898168701442841</v>
      </c>
      <c r="AJ62" s="12"/>
      <c r="AK62" s="12"/>
      <c r="AL62" s="12"/>
      <c r="AM62" s="12"/>
      <c r="AN62" s="12"/>
      <c r="AO62" s="41"/>
      <c r="AP62" s="12"/>
      <c r="AQ62" s="12"/>
      <c r="AR62" s="12"/>
      <c r="AS62" s="12"/>
      <c r="AT62" s="12"/>
      <c r="AU62" s="12"/>
      <c r="AV62" s="12"/>
      <c r="AW62" s="12"/>
      <c r="AX62" s="12"/>
      <c r="AY62" s="12"/>
      <c r="AZ62" s="12"/>
      <c r="BA62" s="70">
        <f>SUM(AJ60:BB60)/SUM(AJ59:BB59)</f>
        <v>1.0609865821695419</v>
      </c>
      <c r="BB62" s="12"/>
      <c r="BC62" s="12"/>
      <c r="BD62" s="12"/>
      <c r="BE62" s="12"/>
      <c r="BF62" s="12"/>
      <c r="BT62" s="12"/>
      <c r="BU62" s="70">
        <f>SUM(BF60:BU60)/SUM(BF59:BU59)</f>
        <v>2.1634553332718722</v>
      </c>
      <c r="DV62" s="12"/>
      <c r="DW62" s="70">
        <f>SUM(DD60:DW60)/SUM(DD59:DW59)</f>
        <v>1.0568403908794788</v>
      </c>
      <c r="EO62" s="12"/>
      <c r="EP62" s="70">
        <f>SUM(DX60:EP60)/SUM(DX59:EP59)</f>
        <v>0.42212990936555889</v>
      </c>
      <c r="FG62" s="12"/>
      <c r="FH62" s="70">
        <f>SUM(ES60:FH60)/SUM(ES59:FH59)</f>
        <v>0.97536585365853656</v>
      </c>
      <c r="FU62" s="12"/>
      <c r="FV62" s="70">
        <f>SUM(FI60:FW60)/SUM(FI59:FW59)</f>
        <v>0.73604651162790702</v>
      </c>
      <c r="GM62" s="12"/>
      <c r="GN62" s="70">
        <f>SUM(FY60:GO60)/SUM(FY59:GO59)</f>
        <v>0.77051983584131323</v>
      </c>
      <c r="GR62" s="7"/>
      <c r="GS62" s="7"/>
      <c r="GT62" s="7"/>
      <c r="GU62" s="7"/>
      <c r="GV62" s="7"/>
      <c r="GW62" s="7"/>
      <c r="GX62" s="7"/>
      <c r="GY62" s="7"/>
      <c r="GZ62" s="7"/>
      <c r="HA62" s="7"/>
      <c r="HB62" s="7"/>
      <c r="HC62" s="7"/>
      <c r="HD62" s="7"/>
      <c r="HE62" s="37"/>
      <c r="HF62" s="38">
        <f>SUM(GQ60:HH61)/SUM(GQ59:HH59)</f>
        <v>1.0321705426356589</v>
      </c>
      <c r="HG62" s="7"/>
      <c r="HH62" s="7"/>
      <c r="HI62" s="7"/>
      <c r="HJ62" s="8"/>
      <c r="HK62" s="8"/>
      <c r="HL62" s="8"/>
      <c r="HM62" s="8"/>
      <c r="HN62" s="8"/>
      <c r="HO62" s="8"/>
      <c r="HP62" s="8"/>
      <c r="HQ62" s="8"/>
      <c r="HR62" s="8"/>
      <c r="HS62" s="8"/>
      <c r="HT62" s="8"/>
      <c r="HU62" s="8"/>
      <c r="HV62" s="8"/>
      <c r="HW62" s="8"/>
      <c r="HX62" s="8"/>
      <c r="HY62" s="39"/>
      <c r="HZ62" s="40">
        <f>SUM(HI60:HY60)/SUM(HI59:HY59)</f>
        <v>0.56288645690834471</v>
      </c>
      <c r="IA62" s="8"/>
      <c r="IB62" s="8"/>
      <c r="IC62" s="8"/>
      <c r="ID62" s="8"/>
      <c r="IE62" s="8"/>
      <c r="IF62" s="8"/>
      <c r="IG62" s="8"/>
      <c r="IH62" s="8"/>
      <c r="II62" s="8"/>
      <c r="IK62" s="11" t="s">
        <v>81</v>
      </c>
    </row>
    <row r="63" spans="1:245" s="71" customFormat="1" ht="15" x14ac:dyDescent="0.25">
      <c r="A63" s="108" t="s">
        <v>61</v>
      </c>
      <c r="B63" s="109">
        <f>B65/B64</f>
        <v>0.9616218299173912</v>
      </c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F63" s="41"/>
      <c r="AG63" s="41"/>
      <c r="AH63" s="41"/>
      <c r="AI63" s="41"/>
      <c r="AJ63" s="41"/>
      <c r="AK63" s="41"/>
      <c r="AL63" s="41"/>
      <c r="AM63" s="41"/>
      <c r="AN63" s="41"/>
      <c r="AO63" s="41"/>
      <c r="AP63" s="41"/>
      <c r="AQ63" s="41"/>
      <c r="AR63" s="41"/>
      <c r="AS63" s="41"/>
      <c r="AT63" s="41"/>
      <c r="AU63" s="41"/>
      <c r="AV63" s="41"/>
      <c r="AW63" s="41"/>
      <c r="AX63" s="41"/>
      <c r="AY63" s="41"/>
      <c r="AZ63" s="41"/>
      <c r="BA63" s="41"/>
      <c r="BB63" s="41"/>
      <c r="BC63" s="41"/>
      <c r="BD63" s="41"/>
      <c r="BE63" s="41"/>
      <c r="BF63" s="41"/>
      <c r="GR63" s="7"/>
      <c r="GS63" s="7"/>
      <c r="GT63" s="7"/>
      <c r="GU63" s="7"/>
      <c r="GV63" s="7"/>
      <c r="GW63" s="7"/>
      <c r="GX63" s="7"/>
      <c r="GY63" s="7"/>
      <c r="GZ63" s="7"/>
      <c r="HA63" s="7"/>
      <c r="HB63" s="7"/>
      <c r="HC63" s="7"/>
      <c r="HD63" s="7"/>
      <c r="HE63" s="7"/>
      <c r="HF63" s="7"/>
      <c r="HG63" s="7"/>
      <c r="HH63" s="7"/>
      <c r="HI63" s="7"/>
      <c r="HJ63" s="8"/>
      <c r="HK63" s="8"/>
      <c r="HL63" s="8"/>
      <c r="HM63" s="8"/>
      <c r="HN63" s="8"/>
      <c r="HO63" s="8"/>
      <c r="HP63" s="8"/>
      <c r="HQ63" s="8"/>
      <c r="HR63" s="8"/>
      <c r="HS63" s="8"/>
      <c r="HT63" s="8"/>
      <c r="HU63" s="8"/>
      <c r="HV63" s="8"/>
      <c r="HW63" s="8"/>
      <c r="HX63" s="8"/>
      <c r="HY63" s="8"/>
      <c r="HZ63" s="8"/>
      <c r="IA63" s="8"/>
      <c r="IB63" s="8"/>
      <c r="IC63" s="8"/>
      <c r="ID63" s="8"/>
      <c r="IE63" s="8"/>
      <c r="IF63" s="8"/>
      <c r="IG63" s="8"/>
      <c r="IH63" s="8"/>
      <c r="II63" s="8"/>
      <c r="IK63" s="77" t="s">
        <v>9</v>
      </c>
    </row>
    <row r="64" spans="1:245" s="41" customFormat="1" x14ac:dyDescent="0.2">
      <c r="A64" s="110" t="s">
        <v>2</v>
      </c>
      <c r="B64" s="111">
        <f>SUM(C64:ZZ64)</f>
        <v>12456300</v>
      </c>
      <c r="C64" s="45">
        <v>53000</v>
      </c>
      <c r="D64" s="45">
        <v>53000</v>
      </c>
      <c r="E64" s="45">
        <v>53000</v>
      </c>
      <c r="F64" s="45">
        <v>46000</v>
      </c>
      <c r="G64" s="45">
        <v>46000</v>
      </c>
      <c r="H64" s="45">
        <v>46000</v>
      </c>
      <c r="I64" s="45">
        <v>46000</v>
      </c>
      <c r="J64" s="45">
        <v>43000</v>
      </c>
      <c r="K64" s="45">
        <v>35000</v>
      </c>
      <c r="L64" s="45">
        <v>35000</v>
      </c>
      <c r="M64" s="45">
        <v>35000</v>
      </c>
      <c r="N64" s="45">
        <v>165000</v>
      </c>
      <c r="O64" s="81">
        <v>165000</v>
      </c>
      <c r="T64" s="80">
        <v>165000</v>
      </c>
      <c r="U64" s="45"/>
      <c r="V64" s="45">
        <v>104000</v>
      </c>
      <c r="W64" s="45">
        <v>82000</v>
      </c>
      <c r="X64" s="45">
        <v>82000</v>
      </c>
      <c r="Y64" s="45">
        <v>82000</v>
      </c>
      <c r="Z64" s="45">
        <v>82000</v>
      </c>
      <c r="AA64" s="45">
        <v>126000</v>
      </c>
      <c r="AB64" s="45">
        <v>126000</v>
      </c>
      <c r="AC64" s="45">
        <v>126000</v>
      </c>
      <c r="AD64" s="45">
        <v>126000</v>
      </c>
      <c r="AE64" s="45">
        <v>126000</v>
      </c>
      <c r="AF64" s="45">
        <v>77000</v>
      </c>
      <c r="AG64" s="45">
        <v>126000</v>
      </c>
      <c r="AH64" s="45">
        <v>78000</v>
      </c>
      <c r="AI64" s="45">
        <v>78000</v>
      </c>
      <c r="AJ64" s="45">
        <v>78000</v>
      </c>
      <c r="AK64" s="81">
        <v>78000</v>
      </c>
      <c r="AL64" s="80">
        <v>78000</v>
      </c>
      <c r="AM64" s="45">
        <v>78000</v>
      </c>
      <c r="AN64" s="45">
        <v>242000</v>
      </c>
      <c r="AO64" s="45">
        <v>242000</v>
      </c>
      <c r="AP64" s="45">
        <v>189000</v>
      </c>
      <c r="AQ64" s="45">
        <v>107400</v>
      </c>
      <c r="AR64" s="45">
        <v>84000</v>
      </c>
      <c r="AS64" s="45">
        <v>84000</v>
      </c>
      <c r="AT64" s="45">
        <v>84000</v>
      </c>
      <c r="AU64" s="45">
        <v>84000</v>
      </c>
      <c r="AV64" s="45">
        <v>84000</v>
      </c>
      <c r="AW64" s="45">
        <v>84000</v>
      </c>
      <c r="AX64" s="45">
        <v>84000</v>
      </c>
      <c r="AY64" s="45">
        <v>360000</v>
      </c>
      <c r="AZ64" s="45">
        <v>360000</v>
      </c>
      <c r="BA64" s="45">
        <v>360000</v>
      </c>
      <c r="BB64" s="45">
        <v>360000</v>
      </c>
      <c r="BC64" s="81">
        <v>360000</v>
      </c>
      <c r="BD64" s="80">
        <v>165950</v>
      </c>
      <c r="BE64" s="45">
        <v>134300</v>
      </c>
      <c r="BF64" s="45">
        <v>121000</v>
      </c>
      <c r="BG64" s="45">
        <v>121000</v>
      </c>
      <c r="BH64" s="45">
        <v>121000</v>
      </c>
      <c r="BI64" s="45">
        <v>44350</v>
      </c>
      <c r="BJ64" s="45">
        <v>64100</v>
      </c>
      <c r="BK64" s="45">
        <v>114650</v>
      </c>
      <c r="BL64" s="45">
        <v>184850</v>
      </c>
      <c r="BM64" s="45">
        <v>119350</v>
      </c>
      <c r="BN64" s="45">
        <v>117700</v>
      </c>
      <c r="BO64" s="45">
        <v>151000</v>
      </c>
      <c r="BP64" s="45">
        <v>102050</v>
      </c>
      <c r="BQ64" s="45">
        <v>99950</v>
      </c>
      <c r="BR64" s="45">
        <v>87950</v>
      </c>
      <c r="BS64" s="81">
        <v>102550</v>
      </c>
      <c r="BY64" s="80">
        <v>73050</v>
      </c>
      <c r="BZ64" s="45"/>
      <c r="CA64" s="45">
        <v>58200</v>
      </c>
      <c r="CB64" s="45"/>
      <c r="CC64" s="45">
        <v>83600</v>
      </c>
      <c r="CD64" s="45">
        <v>99100</v>
      </c>
      <c r="CE64" s="45"/>
      <c r="CF64" s="45">
        <v>99850</v>
      </c>
      <c r="CG64" s="45">
        <v>112900</v>
      </c>
      <c r="CH64" s="45">
        <v>100450</v>
      </c>
      <c r="CI64" s="45">
        <v>34000</v>
      </c>
      <c r="CJ64" s="45">
        <v>34000</v>
      </c>
      <c r="CK64" s="45">
        <v>34000</v>
      </c>
      <c r="CL64" s="45">
        <v>34000</v>
      </c>
      <c r="CM64" s="45">
        <v>34000</v>
      </c>
      <c r="CN64" s="45">
        <v>34000</v>
      </c>
      <c r="CO64" s="81">
        <v>34000</v>
      </c>
      <c r="CP64" s="80">
        <v>109000</v>
      </c>
      <c r="CQ64" s="45">
        <v>109000</v>
      </c>
      <c r="CR64" s="45">
        <v>109000</v>
      </c>
      <c r="CS64" s="45">
        <v>109000</v>
      </c>
      <c r="CT64" s="45">
        <v>109000</v>
      </c>
      <c r="CU64" s="45">
        <v>109000</v>
      </c>
      <c r="CV64" s="45">
        <v>131000</v>
      </c>
      <c r="CW64" s="45">
        <v>131000</v>
      </c>
      <c r="CX64" s="45">
        <v>131000</v>
      </c>
      <c r="CY64" s="45">
        <v>131000</v>
      </c>
      <c r="CZ64" s="45">
        <v>131000</v>
      </c>
      <c r="DA64" s="45">
        <v>106000</v>
      </c>
      <c r="DB64" s="45">
        <v>106000</v>
      </c>
      <c r="DC64" s="45">
        <v>169000</v>
      </c>
      <c r="DD64" s="45">
        <v>169000</v>
      </c>
      <c r="DE64" s="81">
        <v>169000</v>
      </c>
      <c r="DG64" s="80">
        <v>169000</v>
      </c>
      <c r="DH64" s="45">
        <v>169000</v>
      </c>
      <c r="DI64" s="45">
        <v>52000</v>
      </c>
      <c r="DJ64" s="45">
        <v>52000</v>
      </c>
      <c r="DK64" s="45">
        <v>52000</v>
      </c>
      <c r="DL64" s="45"/>
      <c r="DM64" s="45">
        <v>133000</v>
      </c>
      <c r="DN64" s="45">
        <v>133000</v>
      </c>
      <c r="DO64" s="45">
        <v>133000</v>
      </c>
      <c r="DP64" s="45">
        <v>133000</v>
      </c>
      <c r="DQ64" s="45">
        <v>133000</v>
      </c>
      <c r="DR64" s="45">
        <v>133000</v>
      </c>
      <c r="DS64" s="45">
        <v>133000</v>
      </c>
      <c r="DT64" s="45">
        <v>133000</v>
      </c>
      <c r="DU64" s="45">
        <v>133000</v>
      </c>
      <c r="DV64" s="81">
        <v>133000</v>
      </c>
      <c r="GR64" s="49"/>
      <c r="GS64" s="49"/>
      <c r="GT64" s="49"/>
      <c r="GU64" s="49"/>
      <c r="GV64" s="49"/>
      <c r="GW64" s="49"/>
      <c r="GX64" s="49"/>
      <c r="GY64" s="49"/>
      <c r="GZ64" s="49"/>
      <c r="HA64" s="49"/>
      <c r="HB64" s="49"/>
      <c r="HC64" s="49"/>
      <c r="HD64" s="49"/>
      <c r="HE64" s="49"/>
      <c r="HF64" s="49"/>
      <c r="HG64" s="49"/>
      <c r="HH64" s="49"/>
      <c r="HI64" s="49"/>
      <c r="HJ64" s="50"/>
      <c r="HK64" s="50"/>
      <c r="HL64" s="50"/>
      <c r="HM64" s="50"/>
      <c r="HN64" s="50"/>
      <c r="HO64" s="50"/>
      <c r="HP64" s="50"/>
      <c r="HQ64" s="50"/>
      <c r="HR64" s="50"/>
      <c r="HS64" s="50"/>
      <c r="HT64" s="50"/>
      <c r="HU64" s="50"/>
      <c r="HV64" s="50"/>
      <c r="HW64" s="50"/>
      <c r="HX64" s="50"/>
      <c r="HY64" s="50"/>
      <c r="HZ64" s="50"/>
      <c r="IA64" s="50"/>
      <c r="IB64" s="50"/>
      <c r="IC64" s="50"/>
      <c r="ID64" s="50"/>
      <c r="IE64" s="50"/>
      <c r="IF64" s="50"/>
      <c r="IG64" s="50"/>
      <c r="IH64" s="50"/>
      <c r="II64" s="50"/>
      <c r="IK64" s="82" t="s">
        <v>89</v>
      </c>
    </row>
    <row r="65" spans="1:262" s="41" customFormat="1" x14ac:dyDescent="0.2">
      <c r="A65" s="110" t="s">
        <v>4</v>
      </c>
      <c r="B65" s="111">
        <f>SUM(C65:ZZ65)</f>
        <v>11978250</v>
      </c>
      <c r="C65" s="58"/>
      <c r="D65" s="58">
        <v>54150</v>
      </c>
      <c r="E65" s="58">
        <v>36750</v>
      </c>
      <c r="F65" s="58">
        <v>2850</v>
      </c>
      <c r="G65" s="58">
        <f>41400+51150</f>
        <v>92550</v>
      </c>
      <c r="H65" s="58"/>
      <c r="I65" s="58">
        <f>3600+65550</f>
        <v>69150</v>
      </c>
      <c r="J65" s="58">
        <v>3300</v>
      </c>
      <c r="K65" s="58">
        <f>8100+35250</f>
        <v>43350</v>
      </c>
      <c r="L65" s="58">
        <v>1650</v>
      </c>
      <c r="M65" s="58"/>
      <c r="N65" s="58">
        <f>138000+10800</f>
        <v>148800</v>
      </c>
      <c r="O65" s="84">
        <v>80000</v>
      </c>
      <c r="T65" s="83"/>
      <c r="U65" s="58"/>
      <c r="V65" s="58"/>
      <c r="W65" s="58"/>
      <c r="X65" s="58"/>
      <c r="Y65" s="58"/>
      <c r="Z65" s="58">
        <v>129900</v>
      </c>
      <c r="AA65" s="58">
        <f>148000+181350</f>
        <v>329350</v>
      </c>
      <c r="AB65" s="58">
        <f>119000+125000+199800+160500</f>
        <v>604300</v>
      </c>
      <c r="AC65" s="58">
        <f>11700+750</f>
        <v>12450</v>
      </c>
      <c r="AD65" s="58"/>
      <c r="AE65" s="58"/>
      <c r="AF65" s="58">
        <f>76000+80000+11100+322500</f>
        <v>489600</v>
      </c>
      <c r="AG65" s="58">
        <v>9000</v>
      </c>
      <c r="AH65" s="58"/>
      <c r="AI65" s="58">
        <v>26850</v>
      </c>
      <c r="AJ65" s="58">
        <f>29400+560000</f>
        <v>589400</v>
      </c>
      <c r="AK65" s="84"/>
      <c r="AL65" s="83"/>
      <c r="AM65" s="58"/>
      <c r="AN65" s="58"/>
      <c r="AO65" s="58"/>
      <c r="AP65" s="58"/>
      <c r="AQ65" s="58"/>
      <c r="AR65" s="58">
        <v>268050</v>
      </c>
      <c r="AS65" s="58">
        <v>157050</v>
      </c>
      <c r="AT65" s="58">
        <f>157500+83250</f>
        <v>240750</v>
      </c>
      <c r="AU65" s="58"/>
      <c r="AV65" s="58"/>
      <c r="AW65" s="58">
        <v>12750</v>
      </c>
      <c r="AX65" s="58">
        <f>150000+175950</f>
        <v>325950</v>
      </c>
      <c r="AY65" s="58"/>
      <c r="AZ65" s="58">
        <f>49650+222750</f>
        <v>272400</v>
      </c>
      <c r="BA65" s="58">
        <v>750</v>
      </c>
      <c r="BB65" s="58">
        <v>560000</v>
      </c>
      <c r="BC65" s="84"/>
      <c r="BD65" s="83"/>
      <c r="BE65" s="58"/>
      <c r="BF65" s="58"/>
      <c r="BG65" s="58"/>
      <c r="BH65" s="58">
        <v>93300</v>
      </c>
      <c r="BI65" s="58">
        <v>331800</v>
      </c>
      <c r="BJ65" s="58">
        <v>409650</v>
      </c>
      <c r="BK65" s="58">
        <v>67050</v>
      </c>
      <c r="BL65" s="58">
        <v>43800</v>
      </c>
      <c r="BM65" s="58"/>
      <c r="BN65" s="58">
        <f>98000+328500</f>
        <v>426500</v>
      </c>
      <c r="BO65" s="58"/>
      <c r="BP65" s="58">
        <v>22800</v>
      </c>
      <c r="BQ65" s="58">
        <v>74700</v>
      </c>
      <c r="BR65" s="58"/>
      <c r="BS65" s="84"/>
      <c r="BY65" s="83"/>
      <c r="BZ65" s="58"/>
      <c r="CA65" s="58"/>
      <c r="CB65" s="58"/>
      <c r="CC65" s="58">
        <v>64950</v>
      </c>
      <c r="CD65" s="58">
        <v>58650</v>
      </c>
      <c r="CE65" s="58">
        <v>28800</v>
      </c>
      <c r="CF65" s="58">
        <v>88800</v>
      </c>
      <c r="CG65" s="58">
        <v>5250</v>
      </c>
      <c r="CH65" s="58">
        <v>3150</v>
      </c>
      <c r="CI65" s="58">
        <v>10950</v>
      </c>
      <c r="CJ65" s="58">
        <f>13050+40200</f>
        <v>53250</v>
      </c>
      <c r="CK65" s="58">
        <f>30150+29550</f>
        <v>59700</v>
      </c>
      <c r="CL65" s="58">
        <f>18600+34050</f>
        <v>52650</v>
      </c>
      <c r="CM65" s="58">
        <v>149000</v>
      </c>
      <c r="CN65" s="58"/>
      <c r="CO65" s="84"/>
      <c r="CP65" s="83"/>
      <c r="CQ65" s="58"/>
      <c r="CR65" s="58"/>
      <c r="CS65" s="58">
        <v>295950</v>
      </c>
      <c r="CT65" s="58">
        <v>169800</v>
      </c>
      <c r="CU65" s="58">
        <v>230850</v>
      </c>
      <c r="CV65" s="58">
        <v>243000</v>
      </c>
      <c r="CW65" s="58">
        <v>9900</v>
      </c>
      <c r="CX65" s="58"/>
      <c r="CY65" s="58">
        <v>150</v>
      </c>
      <c r="CZ65" s="58">
        <f>10950+106800</f>
        <v>117750</v>
      </c>
      <c r="DA65" s="58"/>
      <c r="DB65" s="58">
        <v>1050</v>
      </c>
      <c r="DC65" s="58">
        <f>560000+24300</f>
        <v>584300</v>
      </c>
      <c r="DD65" s="58"/>
      <c r="DE65" s="84"/>
      <c r="DG65" s="83"/>
      <c r="DH65" s="58"/>
      <c r="DI65" s="58"/>
      <c r="DJ65" s="58"/>
      <c r="DK65" s="58">
        <v>359550</v>
      </c>
      <c r="DL65" s="58">
        <v>267750</v>
      </c>
      <c r="DM65" s="58">
        <v>341400</v>
      </c>
      <c r="DN65" s="58">
        <v>257400</v>
      </c>
      <c r="DO65" s="58"/>
      <c r="DP65" s="58"/>
      <c r="DQ65" s="58">
        <v>34350</v>
      </c>
      <c r="DR65" s="58"/>
      <c r="DS65" s="58"/>
      <c r="DT65" s="58">
        <v>99000</v>
      </c>
      <c r="DU65" s="58">
        <f>560000+250000+250000+200000+400200</f>
        <v>1660200</v>
      </c>
      <c r="DV65" s="84">
        <f>250000+150000</f>
        <v>400000</v>
      </c>
      <c r="EB65" s="41">
        <v>300000</v>
      </c>
      <c r="GR65" s="49"/>
      <c r="GS65" s="49"/>
      <c r="GT65" s="49"/>
      <c r="GU65" s="49"/>
      <c r="GV65" s="49"/>
      <c r="GW65" s="49"/>
      <c r="GX65" s="49"/>
      <c r="GY65" s="49"/>
      <c r="GZ65" s="49"/>
      <c r="HA65" s="49"/>
      <c r="HB65" s="49"/>
      <c r="HC65" s="49"/>
      <c r="HD65" s="49"/>
      <c r="HE65" s="49"/>
      <c r="HF65" s="49"/>
      <c r="HG65" s="49"/>
      <c r="HH65" s="49"/>
      <c r="HI65" s="49"/>
      <c r="HJ65" s="50"/>
      <c r="HK65" s="50"/>
      <c r="HL65" s="50"/>
      <c r="HM65" s="50"/>
      <c r="HN65" s="50"/>
      <c r="HO65" s="50"/>
      <c r="HP65" s="50"/>
      <c r="HQ65" s="50"/>
      <c r="HR65" s="50"/>
      <c r="HS65" s="50"/>
      <c r="HT65" s="50"/>
      <c r="HU65" s="50"/>
      <c r="HV65" s="50"/>
      <c r="HW65" s="50"/>
      <c r="HX65" s="50"/>
      <c r="HY65" s="50"/>
      <c r="HZ65" s="50"/>
      <c r="IA65" s="50"/>
      <c r="IB65" s="50"/>
      <c r="IC65" s="50"/>
      <c r="ID65" s="50"/>
      <c r="IE65" s="50"/>
      <c r="IF65" s="50"/>
      <c r="IG65" s="50"/>
      <c r="IH65" s="50"/>
      <c r="II65" s="50"/>
      <c r="IK65" s="82"/>
    </row>
    <row r="66" spans="1:262" s="41" customFormat="1" x14ac:dyDescent="0.2">
      <c r="A66" s="110" t="s">
        <v>6</v>
      </c>
      <c r="B66" s="112">
        <f>B65-B64</f>
        <v>-478050</v>
      </c>
      <c r="N66" s="66" t="s">
        <v>48</v>
      </c>
      <c r="O66" s="67"/>
      <c r="AJ66" s="66" t="s">
        <v>7</v>
      </c>
      <c r="AK66" s="67">
        <f>SUM(T65:AK65)-SUM(T64:AK64)</f>
        <v>448850</v>
      </c>
      <c r="BB66" s="85" t="s">
        <v>44</v>
      </c>
      <c r="BC66" s="87">
        <f>SUM(AL65:BC65)-SUM(AL64:BC64)</f>
        <v>-1486700</v>
      </c>
      <c r="BR66" s="85" t="s">
        <v>21</v>
      </c>
      <c r="BS66" s="87">
        <f>SUM(BD65:BS65)-SUM(BD64:BS64)</f>
        <v>-382150</v>
      </c>
      <c r="CM66" s="85" t="s">
        <v>35</v>
      </c>
      <c r="CN66" s="87">
        <f>SUM(BY65:CO65)-SUM(BY64:CO64)</f>
        <v>-290000</v>
      </c>
      <c r="DC66" s="85" t="s">
        <v>44</v>
      </c>
      <c r="DD66" s="87">
        <f>SUM(CP65:DE65)-SUM(CP64:DE64)</f>
        <v>-375250</v>
      </c>
      <c r="DU66" s="85" t="s">
        <v>44</v>
      </c>
      <c r="DV66" s="87">
        <f>SUM(DG65:DV65)-SUM(DG64:DV64)</f>
        <v>1595650</v>
      </c>
      <c r="GR66" s="49"/>
      <c r="GS66" s="49"/>
      <c r="GT66" s="49"/>
      <c r="GU66" s="49"/>
      <c r="GV66" s="49"/>
      <c r="GW66" s="49"/>
      <c r="GX66" s="49"/>
      <c r="GY66" s="49"/>
      <c r="GZ66" s="49"/>
      <c r="HA66" s="49"/>
      <c r="HB66" s="49"/>
      <c r="HC66" s="49"/>
      <c r="HD66" s="49"/>
      <c r="HE66" s="49"/>
      <c r="HF66" s="49"/>
      <c r="HG66" s="49"/>
      <c r="HH66" s="49"/>
      <c r="HI66" s="49"/>
      <c r="HJ66" s="50"/>
      <c r="HK66" s="50"/>
      <c r="HL66" s="50"/>
      <c r="HM66" s="50"/>
      <c r="HN66" s="50"/>
      <c r="HO66" s="50"/>
      <c r="HP66" s="50"/>
      <c r="HQ66" s="50"/>
      <c r="HR66" s="50"/>
      <c r="HS66" s="50"/>
      <c r="HT66" s="50"/>
      <c r="HU66" s="50"/>
      <c r="HV66" s="50"/>
      <c r="HW66" s="50"/>
      <c r="HX66" s="50"/>
      <c r="HY66" s="50"/>
      <c r="HZ66" s="50"/>
      <c r="IA66" s="50"/>
      <c r="IB66" s="50"/>
      <c r="IC66" s="50"/>
      <c r="ID66" s="50"/>
      <c r="IE66" s="50"/>
      <c r="IF66" s="50"/>
      <c r="IG66" s="50"/>
      <c r="IH66" s="50"/>
      <c r="II66" s="50"/>
      <c r="IK66" s="82" t="s">
        <v>9</v>
      </c>
    </row>
    <row r="67" spans="1:262" x14ac:dyDescent="0.2">
      <c r="A67" s="88"/>
      <c r="B67" s="31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70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  <c r="AJ67" s="12"/>
      <c r="AK67" s="70">
        <f>SUM(T65:AK65)/SUM(T64:AK64)</f>
        <v>1.2576636050516647</v>
      </c>
      <c r="AL67" s="12"/>
      <c r="AM67" s="12"/>
      <c r="AN67" s="12"/>
      <c r="AO67" s="41"/>
      <c r="AP67" s="12"/>
      <c r="AQ67" s="12"/>
      <c r="AR67" s="12"/>
      <c r="AS67" s="12"/>
      <c r="AT67" s="12"/>
      <c r="AU67" s="12"/>
      <c r="AV67" s="12"/>
      <c r="AW67" s="12"/>
      <c r="AX67" s="12"/>
      <c r="AY67" s="12"/>
      <c r="AZ67" s="12"/>
      <c r="BA67" s="12"/>
      <c r="BB67" s="12"/>
      <c r="BC67" s="70">
        <f>SUM(AL65:BC65)/SUM(AL64:BC64)</f>
        <v>0.55279148116953436</v>
      </c>
      <c r="BD67" s="12"/>
      <c r="BE67" s="12"/>
      <c r="BF67" s="12"/>
      <c r="BR67" s="12"/>
      <c r="BS67" s="70">
        <f>SUM(BD65:BS65)/SUM(BD64:BS64)</f>
        <v>0.79362764952072362</v>
      </c>
      <c r="CM67" s="12"/>
      <c r="CN67" s="70">
        <f>SUM(BY65:CO65)/SUM(BY64:CO64)</f>
        <v>0.66479801190544996</v>
      </c>
      <c r="DC67" s="12"/>
      <c r="DD67" s="70">
        <f>SUM(CP65:DE65)/SUM(CP64:DE64)</f>
        <v>0.81496548323471396</v>
      </c>
      <c r="DU67" s="12"/>
      <c r="DV67" s="70">
        <f>SUM(DG65:DV65)/SUM(DG64:DV64)</f>
        <v>1.8748081140350876</v>
      </c>
      <c r="GR67" s="7"/>
      <c r="GS67" s="7"/>
      <c r="GT67" s="7"/>
      <c r="GU67" s="7"/>
      <c r="GV67" s="7"/>
      <c r="GW67" s="7"/>
      <c r="GX67" s="7"/>
      <c r="GY67" s="7"/>
      <c r="GZ67" s="7"/>
      <c r="HA67" s="7"/>
      <c r="HB67" s="7"/>
      <c r="HC67" s="7"/>
      <c r="HD67" s="7"/>
      <c r="HE67" s="7"/>
      <c r="HF67" s="7"/>
      <c r="HG67" s="7"/>
      <c r="HH67" s="7"/>
      <c r="HI67" s="7"/>
      <c r="HJ67" s="8"/>
      <c r="HK67" s="8"/>
      <c r="HL67" s="8"/>
      <c r="HM67" s="8"/>
      <c r="HN67" s="8"/>
      <c r="HO67" s="8"/>
      <c r="HP67" s="8"/>
      <c r="HQ67" s="8"/>
      <c r="HR67" s="8"/>
      <c r="HS67" s="8"/>
      <c r="HT67" s="8"/>
      <c r="HU67" s="8"/>
      <c r="HV67" s="8"/>
      <c r="HW67" s="8"/>
      <c r="HX67" s="8"/>
      <c r="HY67" s="8"/>
      <c r="HZ67" s="8"/>
      <c r="IA67" s="8"/>
      <c r="IB67" s="8"/>
      <c r="IC67" s="8"/>
      <c r="ID67" s="8"/>
      <c r="IE67" s="8"/>
      <c r="IF67" s="8"/>
      <c r="IG67" s="8"/>
      <c r="IH67" s="8"/>
      <c r="II67" s="8"/>
      <c r="IK67" s="11" t="s">
        <v>83</v>
      </c>
    </row>
    <row r="68" spans="1:262" ht="15" x14ac:dyDescent="0.25">
      <c r="A68" s="103" t="s">
        <v>62</v>
      </c>
      <c r="B68" s="104">
        <f>B70/B69</f>
        <v>0.42995933506882411</v>
      </c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 s="12"/>
      <c r="AJ68" s="12"/>
      <c r="AK68" s="12"/>
      <c r="AL68" s="12"/>
      <c r="AM68" s="12"/>
      <c r="AN68" s="12"/>
      <c r="AO68" s="41"/>
      <c r="AP68" s="12"/>
      <c r="AQ68" s="12"/>
      <c r="AR68" s="12"/>
      <c r="AS68" s="12"/>
      <c r="AT68" s="12"/>
      <c r="AU68" s="12"/>
      <c r="AV68" s="12"/>
      <c r="AW68" s="12"/>
      <c r="AX68" s="12"/>
      <c r="AY68" s="12"/>
      <c r="AZ68" s="12"/>
      <c r="BA68" s="12"/>
      <c r="BB68" s="12"/>
      <c r="BC68" s="12"/>
      <c r="BD68" s="12"/>
      <c r="BE68" s="12"/>
      <c r="BF68" s="12"/>
      <c r="GR68" s="7"/>
      <c r="GS68" s="7"/>
      <c r="GT68" s="7"/>
      <c r="GU68" s="7"/>
      <c r="GV68" s="7"/>
      <c r="GW68" s="7"/>
      <c r="GX68" s="7"/>
      <c r="GY68" s="7"/>
      <c r="GZ68" s="7"/>
      <c r="HA68" s="7"/>
      <c r="HB68" s="7"/>
      <c r="HC68" s="7"/>
      <c r="HD68" s="7"/>
      <c r="HE68" s="7"/>
      <c r="HF68" s="7"/>
      <c r="HG68" s="7"/>
      <c r="HH68" s="7"/>
      <c r="HI68" s="7"/>
      <c r="HJ68" s="8"/>
      <c r="HK68" s="8"/>
      <c r="HL68" s="8"/>
      <c r="HM68" s="8"/>
      <c r="HN68" s="8"/>
      <c r="HO68" s="8"/>
      <c r="HP68" s="8"/>
      <c r="HQ68" s="8"/>
      <c r="HR68" s="8"/>
      <c r="HS68" s="8"/>
      <c r="HT68" s="8"/>
      <c r="HU68" s="8"/>
      <c r="HV68" s="8"/>
      <c r="HW68" s="8"/>
      <c r="HX68" s="8"/>
      <c r="HY68" s="8"/>
      <c r="HZ68" s="8"/>
      <c r="IA68" s="8"/>
      <c r="IB68" s="8"/>
      <c r="IC68" s="8"/>
      <c r="ID68" s="8"/>
      <c r="IE68" s="8"/>
      <c r="IF68" s="8"/>
      <c r="IG68" s="8"/>
      <c r="IH68" s="8"/>
      <c r="II68" s="8"/>
      <c r="IK68" s="11"/>
    </row>
    <row r="69" spans="1:262" s="12" customFormat="1" x14ac:dyDescent="0.2">
      <c r="A69" s="41" t="s">
        <v>2</v>
      </c>
      <c r="B69" s="105">
        <f>SUM(C69:ZZ69)</f>
        <v>2938650</v>
      </c>
      <c r="AO69" s="45">
        <v>134200</v>
      </c>
      <c r="AP69" s="42">
        <v>93950</v>
      </c>
      <c r="AQ69" s="42">
        <v>76500</v>
      </c>
      <c r="AR69" s="42">
        <v>31000</v>
      </c>
      <c r="AS69" s="42">
        <v>31000</v>
      </c>
      <c r="AT69" s="42">
        <v>31000</v>
      </c>
      <c r="AU69" s="42">
        <v>31000</v>
      </c>
      <c r="AV69" s="45">
        <v>31000</v>
      </c>
      <c r="AW69" s="45">
        <v>31000</v>
      </c>
      <c r="AX69" s="42">
        <v>31000</v>
      </c>
      <c r="AY69" s="42"/>
      <c r="AZ69" s="43">
        <v>31000</v>
      </c>
      <c r="BE69" s="44">
        <v>31000</v>
      </c>
      <c r="BF69" s="42">
        <v>31000</v>
      </c>
      <c r="BG69" s="42">
        <v>31000</v>
      </c>
      <c r="BH69" s="42">
        <v>31000</v>
      </c>
      <c r="BI69" s="42"/>
      <c r="BJ69" s="42">
        <v>26000</v>
      </c>
      <c r="BK69" s="42">
        <v>26000</v>
      </c>
      <c r="BL69" s="42">
        <v>26000</v>
      </c>
      <c r="BM69" s="42">
        <v>26000</v>
      </c>
      <c r="BN69" s="42">
        <v>26000</v>
      </c>
      <c r="BO69" s="42">
        <v>26000</v>
      </c>
      <c r="BP69" s="42">
        <v>54000</v>
      </c>
      <c r="BQ69" s="42">
        <v>28000</v>
      </c>
      <c r="BR69" s="42">
        <v>28000</v>
      </c>
      <c r="BS69" s="42">
        <v>28000</v>
      </c>
      <c r="BT69" s="43">
        <v>28000</v>
      </c>
      <c r="BY69" s="44">
        <v>28000</v>
      </c>
      <c r="BZ69" s="42">
        <v>28000</v>
      </c>
      <c r="CA69" s="42">
        <v>28000</v>
      </c>
      <c r="CB69" s="42">
        <v>18000</v>
      </c>
      <c r="CC69" s="42">
        <v>18000</v>
      </c>
      <c r="CD69" s="42">
        <v>18000</v>
      </c>
      <c r="CE69" s="42">
        <v>18000</v>
      </c>
      <c r="CF69" s="42">
        <v>18000</v>
      </c>
      <c r="CG69" s="42"/>
      <c r="CH69" s="42"/>
      <c r="CI69" s="42">
        <v>18000</v>
      </c>
      <c r="CJ69" s="42">
        <v>18000</v>
      </c>
      <c r="CK69" s="42">
        <v>18000</v>
      </c>
      <c r="CL69" s="42">
        <v>18000</v>
      </c>
      <c r="CM69" s="42">
        <v>18000</v>
      </c>
      <c r="CN69" s="42">
        <v>18000</v>
      </c>
      <c r="CO69" s="42">
        <v>18000</v>
      </c>
      <c r="CP69" s="43">
        <v>18000</v>
      </c>
      <c r="FM69" s="44">
        <v>18000</v>
      </c>
      <c r="FN69" s="42">
        <v>18000</v>
      </c>
      <c r="FO69" s="42">
        <v>18000</v>
      </c>
      <c r="FP69" s="42">
        <v>112000</v>
      </c>
      <c r="FQ69" s="42">
        <v>112000</v>
      </c>
      <c r="FR69" s="42">
        <v>112000</v>
      </c>
      <c r="FS69" s="42">
        <v>112000</v>
      </c>
      <c r="FT69" s="42">
        <v>112000</v>
      </c>
      <c r="FU69" s="42">
        <v>112000</v>
      </c>
      <c r="FV69" s="42">
        <v>112000</v>
      </c>
      <c r="FW69" s="42">
        <v>112000</v>
      </c>
      <c r="FX69" s="42">
        <v>112000</v>
      </c>
      <c r="FY69" s="42">
        <v>112000</v>
      </c>
      <c r="FZ69" s="42">
        <v>112000</v>
      </c>
      <c r="GA69" s="42">
        <v>112000</v>
      </c>
      <c r="GB69" s="42">
        <v>112000</v>
      </c>
      <c r="GC69" s="43">
        <v>112000</v>
      </c>
      <c r="GR69" s="49"/>
      <c r="GS69" s="49"/>
      <c r="GT69" s="49"/>
      <c r="GU69" s="49"/>
      <c r="GV69" s="49"/>
      <c r="GW69" s="49"/>
      <c r="GX69" s="49"/>
      <c r="GY69" s="49"/>
      <c r="GZ69" s="49"/>
      <c r="HA69" s="49"/>
      <c r="HB69" s="49"/>
      <c r="HC69" s="49"/>
      <c r="HD69" s="49"/>
      <c r="HE69" s="49"/>
      <c r="HF69" s="49"/>
      <c r="HG69" s="49"/>
      <c r="HH69" s="49"/>
      <c r="HI69" s="49"/>
      <c r="HJ69" s="50"/>
      <c r="HK69" s="50"/>
      <c r="HL69" s="50"/>
      <c r="HM69" s="50"/>
      <c r="HN69" s="50"/>
      <c r="HO69" s="50"/>
      <c r="HP69" s="50"/>
      <c r="HQ69" s="50"/>
      <c r="HR69" s="50"/>
      <c r="HS69" s="50"/>
      <c r="HT69" s="50"/>
      <c r="HU69" s="50"/>
      <c r="HV69" s="50"/>
      <c r="HW69" s="50"/>
      <c r="HX69" s="50"/>
      <c r="HY69" s="50"/>
      <c r="HZ69" s="50"/>
      <c r="IA69" s="50"/>
      <c r="IB69" s="50"/>
      <c r="IC69" s="50"/>
      <c r="ID69" s="50"/>
      <c r="IE69" s="50"/>
      <c r="IF69" s="50"/>
      <c r="IG69" s="50"/>
      <c r="IH69" s="50"/>
      <c r="II69" s="50"/>
      <c r="IK69" s="23" t="s">
        <v>90</v>
      </c>
    </row>
    <row r="70" spans="1:262" s="12" customFormat="1" x14ac:dyDescent="0.2">
      <c r="A70" s="41" t="s">
        <v>4</v>
      </c>
      <c r="B70" s="105">
        <f>SUM(C70:ZZ70)</f>
        <v>1263500</v>
      </c>
      <c r="AN70" s="106">
        <v>153600</v>
      </c>
      <c r="AO70" s="58">
        <v>4200</v>
      </c>
      <c r="AP70" s="54"/>
      <c r="AQ70" s="54">
        <v>10350</v>
      </c>
      <c r="AR70" s="54">
        <v>1050</v>
      </c>
      <c r="AS70" s="54">
        <v>7650</v>
      </c>
      <c r="AT70" s="54"/>
      <c r="AU70" s="54">
        <f>1050+1950</f>
        <v>3000</v>
      </c>
      <c r="AV70" s="58">
        <f>3450+2550+71000</f>
        <v>77000</v>
      </c>
      <c r="AW70" s="58"/>
      <c r="AX70" s="54"/>
      <c r="AY70" s="54"/>
      <c r="AZ70" s="57"/>
      <c r="BE70" s="56"/>
      <c r="BF70" s="54"/>
      <c r="BG70" s="54"/>
      <c r="BH70" s="54"/>
      <c r="BI70" s="54">
        <f>7950+12000</f>
        <v>19950</v>
      </c>
      <c r="BJ70" s="54">
        <f>4650+26700</f>
        <v>31350</v>
      </c>
      <c r="BK70" s="54">
        <v>28200</v>
      </c>
      <c r="BL70" s="54"/>
      <c r="BM70" s="54">
        <v>15600</v>
      </c>
      <c r="BN70" s="54">
        <f>4650+20550</f>
        <v>25200</v>
      </c>
      <c r="BO70" s="54"/>
      <c r="BP70" s="54">
        <f>16350+48450</f>
        <v>64800</v>
      </c>
      <c r="BQ70" s="54">
        <v>12900</v>
      </c>
      <c r="BR70" s="54"/>
      <c r="BS70" s="54">
        <f>50550+129000</f>
        <v>179550</v>
      </c>
      <c r="BT70" s="57"/>
      <c r="BY70" s="56"/>
      <c r="BZ70" s="54">
        <v>11400</v>
      </c>
      <c r="CA70" s="54">
        <v>10050</v>
      </c>
      <c r="CB70" s="54">
        <v>25950</v>
      </c>
      <c r="CC70" s="54"/>
      <c r="CD70" s="54"/>
      <c r="CE70" s="54"/>
      <c r="CF70" s="54"/>
      <c r="CG70" s="54"/>
      <c r="CH70" s="54">
        <v>30000</v>
      </c>
      <c r="CI70" s="54"/>
      <c r="CJ70" s="54">
        <v>17400</v>
      </c>
      <c r="CK70" s="54"/>
      <c r="CL70" s="54">
        <v>10800</v>
      </c>
      <c r="CM70" s="54">
        <f>9000+51750</f>
        <v>60750</v>
      </c>
      <c r="CN70" s="54"/>
      <c r="CO70" s="54"/>
      <c r="CP70" s="57"/>
      <c r="FM70" s="56"/>
      <c r="FN70" s="54"/>
      <c r="FO70" s="54"/>
      <c r="FP70" s="54">
        <v>8700</v>
      </c>
      <c r="FQ70" s="54"/>
      <c r="FR70" s="54"/>
      <c r="FS70" s="54">
        <v>66000</v>
      </c>
      <c r="FT70" s="54">
        <v>26850</v>
      </c>
      <c r="FU70" s="54">
        <v>85050</v>
      </c>
      <c r="FV70" s="54">
        <f>39600+67350</f>
        <v>106950</v>
      </c>
      <c r="FW70" s="54">
        <v>48450</v>
      </c>
      <c r="FX70" s="54">
        <v>68400</v>
      </c>
      <c r="FY70" s="54"/>
      <c r="FZ70" s="54">
        <v>32400</v>
      </c>
      <c r="GA70" s="54">
        <v>19950</v>
      </c>
      <c r="GB70" s="54"/>
      <c r="GC70" s="57"/>
      <c r="GR70" s="49"/>
      <c r="GS70" s="49"/>
      <c r="GT70" s="49"/>
      <c r="GU70" s="49"/>
      <c r="GV70" s="49"/>
      <c r="GW70" s="49"/>
      <c r="GX70" s="49"/>
      <c r="GY70" s="49"/>
      <c r="GZ70" s="49"/>
      <c r="HA70" s="49"/>
      <c r="HB70" s="49"/>
      <c r="HC70" s="49"/>
      <c r="HD70" s="49"/>
      <c r="HE70" s="49"/>
      <c r="HF70" s="49"/>
      <c r="HG70" s="49"/>
      <c r="HH70" s="49"/>
      <c r="HI70" s="49"/>
      <c r="HJ70" s="50"/>
      <c r="HK70" s="50"/>
      <c r="HL70" s="50"/>
      <c r="HM70" s="50"/>
      <c r="HN70" s="50"/>
      <c r="HO70" s="50"/>
      <c r="HP70" s="50"/>
      <c r="HQ70" s="50"/>
      <c r="HR70" s="50"/>
      <c r="HS70" s="50"/>
      <c r="HT70" s="50"/>
      <c r="HU70" s="50"/>
      <c r="HV70" s="50"/>
      <c r="HW70" s="50"/>
      <c r="HX70" s="50"/>
      <c r="HY70" s="50"/>
      <c r="HZ70" s="50"/>
      <c r="IA70" s="50"/>
      <c r="IB70" s="50"/>
      <c r="IC70" s="50"/>
      <c r="ID70" s="50"/>
      <c r="IE70" s="50"/>
      <c r="IF70" s="50"/>
      <c r="IG70" s="50"/>
      <c r="IH70" s="50"/>
      <c r="II70" s="50"/>
      <c r="IK70" s="23" t="s">
        <v>9</v>
      </c>
    </row>
    <row r="71" spans="1:262" s="12" customFormat="1" x14ac:dyDescent="0.2">
      <c r="A71" s="41" t="s">
        <v>6</v>
      </c>
      <c r="B71" s="107">
        <f>B70-B69</f>
        <v>-1675150</v>
      </c>
      <c r="AO71" s="41"/>
      <c r="AV71" s="66" t="s">
        <v>63</v>
      </c>
      <c r="AW71" s="67"/>
      <c r="BS71" s="66" t="s">
        <v>34</v>
      </c>
      <c r="BT71" s="67">
        <f>SUM(BE70:BT70)-SUM(BE69:BT69)</f>
        <v>-68450</v>
      </c>
      <c r="CM71" s="66" t="s">
        <v>45</v>
      </c>
      <c r="CN71" s="67">
        <f>SUM(BY70:CP70)-SUM(BY69:CP69)</f>
        <v>-151650</v>
      </c>
      <c r="GA71" s="66" t="s">
        <v>64</v>
      </c>
      <c r="GB71" s="67">
        <f>SUM(FM70:GC70)-SUM(FM69:GC69)</f>
        <v>-1159250</v>
      </c>
      <c r="GR71" s="49"/>
      <c r="GS71" s="49"/>
      <c r="GT71" s="49"/>
      <c r="GU71" s="49"/>
      <c r="GV71" s="49"/>
      <c r="GW71" s="49"/>
      <c r="GX71" s="49"/>
      <c r="GY71" s="49"/>
      <c r="GZ71" s="49"/>
      <c r="HA71" s="49"/>
      <c r="HB71" s="49"/>
      <c r="HC71" s="49"/>
      <c r="HD71" s="49"/>
      <c r="HE71" s="49"/>
      <c r="HF71" s="49"/>
      <c r="HG71" s="49"/>
      <c r="HH71" s="49"/>
      <c r="HI71" s="49"/>
      <c r="HJ71" s="50"/>
      <c r="HK71" s="50"/>
      <c r="HL71" s="50"/>
      <c r="HM71" s="50"/>
      <c r="HN71" s="50"/>
      <c r="HO71" s="50"/>
      <c r="HP71" s="50"/>
      <c r="HQ71" s="50"/>
      <c r="HR71" s="50"/>
      <c r="HS71" s="50"/>
      <c r="HT71" s="50"/>
      <c r="HU71" s="50"/>
      <c r="HV71" s="50"/>
      <c r="HW71" s="50"/>
      <c r="HX71" s="50"/>
      <c r="HY71" s="50"/>
      <c r="HZ71" s="50"/>
      <c r="IA71" s="50"/>
      <c r="IB71" s="50"/>
      <c r="IC71" s="50"/>
      <c r="ID71" s="50"/>
      <c r="IE71" s="50"/>
      <c r="IF71" s="50"/>
      <c r="IG71" s="50"/>
      <c r="IH71" s="50"/>
      <c r="II71" s="50"/>
      <c r="IK71" s="23" t="s">
        <v>23</v>
      </c>
    </row>
    <row r="72" spans="1:262" x14ac:dyDescent="0.2">
      <c r="A72" s="12"/>
      <c r="C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 s="12"/>
      <c r="AJ72" s="12"/>
      <c r="AK72" s="12"/>
      <c r="AL72" s="12"/>
      <c r="AM72" s="12"/>
      <c r="AN72" s="12"/>
      <c r="AO72" s="41"/>
      <c r="AP72" s="12"/>
      <c r="AQ72" s="12"/>
      <c r="AR72" s="12"/>
      <c r="AS72" s="12"/>
      <c r="AT72" s="12"/>
      <c r="AU72" s="12"/>
      <c r="AV72" s="12"/>
      <c r="AW72" s="70"/>
      <c r="AX72" s="12"/>
      <c r="AY72" s="12"/>
      <c r="AZ72" s="12"/>
      <c r="BA72" s="12"/>
      <c r="BB72" s="12"/>
      <c r="BC72" s="12"/>
      <c r="BD72" s="12"/>
      <c r="BE72" s="12"/>
      <c r="BF72" s="12"/>
      <c r="BS72" s="12"/>
      <c r="BT72" s="70">
        <f>SUM(BE70:BT70)/SUM(BE69:BT69)</f>
        <v>0.84652466367713008</v>
      </c>
      <c r="CM72" s="12"/>
      <c r="CN72" s="70">
        <f>SUM(BY70:CP70)/SUM(BY69:CP69)</f>
        <v>0.52311320754716983</v>
      </c>
      <c r="GA72" s="12"/>
      <c r="GB72" s="70">
        <f>SUM(FM70:GC70)/SUM(FM69:GC69)</f>
        <v>0.28529593094944511</v>
      </c>
      <c r="GR72" s="7"/>
      <c r="GS72" s="7"/>
      <c r="GT72" s="7"/>
      <c r="GU72" s="7"/>
      <c r="GV72" s="7"/>
      <c r="GW72" s="7"/>
      <c r="GX72" s="7"/>
      <c r="GY72" s="7"/>
      <c r="GZ72" s="7"/>
      <c r="HA72" s="7"/>
      <c r="HB72" s="7"/>
      <c r="HC72" s="7"/>
      <c r="HD72" s="7"/>
      <c r="HE72" s="7"/>
      <c r="HF72" s="7"/>
      <c r="HG72" s="7"/>
      <c r="HH72" s="7"/>
      <c r="HI72" s="7"/>
      <c r="HJ72" s="8"/>
      <c r="HK72" s="8"/>
      <c r="HL72" s="8"/>
      <c r="HM72" s="8"/>
      <c r="HN72" s="8"/>
      <c r="HO72" s="8"/>
      <c r="HP72" s="8"/>
      <c r="HQ72" s="8"/>
      <c r="HR72" s="8"/>
      <c r="HS72" s="8"/>
      <c r="HT72" s="8"/>
      <c r="HU72" s="8"/>
      <c r="HV72" s="8"/>
      <c r="HW72" s="8"/>
      <c r="HX72" s="8"/>
      <c r="HY72" s="8"/>
      <c r="HZ72" s="8"/>
      <c r="IA72" s="8"/>
      <c r="IB72" s="8"/>
      <c r="IC72" s="8"/>
      <c r="ID72" s="8"/>
      <c r="IE72" s="8"/>
      <c r="IF72" s="8"/>
      <c r="IG72" s="8"/>
      <c r="IH72" s="8"/>
      <c r="II72" s="8"/>
      <c r="IK72" s="11" t="s">
        <v>89</v>
      </c>
    </row>
    <row r="73" spans="1:262" ht="15" x14ac:dyDescent="0.25">
      <c r="A73" s="103" t="s">
        <v>65</v>
      </c>
      <c r="B73" s="104">
        <f>B75/B74</f>
        <v>0.83795604395604395</v>
      </c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 s="12"/>
      <c r="AJ73" s="12"/>
      <c r="AK73" s="12"/>
      <c r="AL73" s="12"/>
      <c r="AM73" s="12"/>
      <c r="AN73" s="12"/>
      <c r="AO73" s="41"/>
      <c r="AP73" s="12"/>
      <c r="AQ73" s="12"/>
      <c r="AR73" s="12"/>
      <c r="AS73" s="12"/>
      <c r="AT73" s="12"/>
      <c r="AU73" s="12"/>
      <c r="AV73" s="12"/>
      <c r="AW73" s="70"/>
      <c r="AX73" s="12"/>
      <c r="AY73" s="12"/>
      <c r="AZ73" s="12"/>
      <c r="BA73" s="12"/>
      <c r="BB73" s="12"/>
      <c r="BC73" s="12"/>
      <c r="BD73" s="12"/>
      <c r="BE73" s="12"/>
      <c r="BF73" s="12"/>
      <c r="BS73" s="12"/>
      <c r="BT73" s="70"/>
      <c r="CM73" s="12"/>
      <c r="CN73" s="70"/>
      <c r="GR73" s="7"/>
      <c r="GS73" s="7"/>
      <c r="GT73" s="7"/>
      <c r="GU73" s="7"/>
      <c r="GV73" s="7"/>
      <c r="GW73" s="7"/>
      <c r="GX73" s="7"/>
      <c r="GY73" s="7"/>
      <c r="GZ73" s="7"/>
      <c r="HA73" s="7"/>
      <c r="HB73" s="7"/>
      <c r="HC73" s="7"/>
      <c r="HD73" s="7"/>
      <c r="HE73" s="7"/>
      <c r="HF73" s="7"/>
      <c r="HG73" s="7"/>
      <c r="HH73" s="7"/>
      <c r="HI73" s="7"/>
      <c r="HJ73" s="8"/>
      <c r="HK73" s="8"/>
      <c r="HL73" s="8"/>
      <c r="HM73" s="8"/>
      <c r="HN73" s="8"/>
      <c r="HO73" s="8"/>
      <c r="HP73" s="8"/>
      <c r="HQ73" s="8"/>
      <c r="HR73" s="8"/>
      <c r="HS73" s="8"/>
      <c r="HT73" s="8"/>
      <c r="HU73" s="8"/>
      <c r="HV73" s="8"/>
      <c r="HW73" s="8"/>
      <c r="HX73" s="8"/>
      <c r="HY73" s="8"/>
      <c r="HZ73" s="8"/>
      <c r="IA73" s="8"/>
      <c r="IB73" s="8"/>
      <c r="IC73" s="8"/>
      <c r="ID73" s="8"/>
      <c r="IE73" s="8"/>
      <c r="IF73" s="8"/>
      <c r="IG73" s="8"/>
      <c r="IH73" s="8"/>
      <c r="II73" s="8"/>
      <c r="IK73" s="11" t="s">
        <v>89</v>
      </c>
    </row>
    <row r="74" spans="1:262" x14ac:dyDescent="0.2">
      <c r="A74" s="41" t="s">
        <v>2</v>
      </c>
      <c r="B74" s="105">
        <f>SUM(C74:ZZ74)</f>
        <v>4550000</v>
      </c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 s="12"/>
      <c r="AJ74" s="12"/>
      <c r="AK74" s="12"/>
      <c r="AL74" s="12"/>
      <c r="AM74" s="12"/>
      <c r="AN74" s="12"/>
      <c r="AO74" s="41"/>
      <c r="AP74" s="12"/>
      <c r="AQ74" s="12"/>
      <c r="AR74" s="12"/>
      <c r="AS74" s="12"/>
      <c r="AT74" s="12"/>
      <c r="AU74" s="12"/>
      <c r="AV74" s="12"/>
      <c r="AW74" s="70"/>
      <c r="AX74" s="12"/>
      <c r="AY74" s="12"/>
      <c r="AZ74" s="12"/>
      <c r="BA74" s="12"/>
      <c r="BB74" s="12"/>
      <c r="BC74" s="12"/>
      <c r="BD74" s="12"/>
      <c r="BE74" s="12"/>
      <c r="BF74" s="12"/>
      <c r="BS74" s="12"/>
      <c r="BT74" s="70"/>
      <c r="CM74" s="12"/>
      <c r="CN74" s="70"/>
      <c r="FK74" s="44">
        <v>121000</v>
      </c>
      <c r="FL74" s="42">
        <v>111000</v>
      </c>
      <c r="FM74" s="42">
        <v>102000</v>
      </c>
      <c r="FN74" s="42">
        <v>93000</v>
      </c>
      <c r="FO74" s="42">
        <v>93000</v>
      </c>
      <c r="FP74" s="42">
        <v>93000</v>
      </c>
      <c r="FQ74" s="42">
        <v>93000</v>
      </c>
      <c r="FR74" s="42">
        <v>93000</v>
      </c>
      <c r="FS74" s="42">
        <v>93000</v>
      </c>
      <c r="FT74" s="42">
        <v>93000</v>
      </c>
      <c r="FU74" s="42">
        <v>93000</v>
      </c>
      <c r="FV74" s="42">
        <v>93000</v>
      </c>
      <c r="FW74" s="43">
        <v>93000</v>
      </c>
      <c r="FX74" s="12"/>
      <c r="FY74" s="12"/>
      <c r="FZ74" s="44">
        <v>93000</v>
      </c>
      <c r="GA74" s="42">
        <v>93000</v>
      </c>
      <c r="GB74" s="42">
        <v>93000</v>
      </c>
      <c r="GC74" s="42">
        <v>93000</v>
      </c>
      <c r="GD74" s="42">
        <v>93000</v>
      </c>
      <c r="GE74" s="42">
        <v>70000</v>
      </c>
      <c r="GF74" s="42">
        <v>70000</v>
      </c>
      <c r="GG74" s="42">
        <v>70000</v>
      </c>
      <c r="GH74" s="42">
        <v>70000</v>
      </c>
      <c r="GI74" s="42">
        <v>70000</v>
      </c>
      <c r="GJ74" s="42">
        <v>70000</v>
      </c>
      <c r="GK74" s="42">
        <v>70000</v>
      </c>
      <c r="GL74" s="42">
        <v>67000</v>
      </c>
      <c r="GM74" s="42">
        <v>67000</v>
      </c>
      <c r="GN74" s="42">
        <v>67000</v>
      </c>
      <c r="GO74" s="43">
        <v>67000</v>
      </c>
      <c r="GP74" s="12"/>
      <c r="GQ74" s="12"/>
      <c r="GR74" s="46">
        <v>67000</v>
      </c>
      <c r="GS74" s="47">
        <v>67000</v>
      </c>
      <c r="GT74" s="47">
        <v>67000</v>
      </c>
      <c r="GU74" s="47">
        <v>67000</v>
      </c>
      <c r="GV74" s="47">
        <v>50000</v>
      </c>
      <c r="GW74" s="47">
        <v>50000</v>
      </c>
      <c r="GX74" s="47">
        <v>30000</v>
      </c>
      <c r="GY74" s="47">
        <v>30000</v>
      </c>
      <c r="GZ74" s="47">
        <v>30000</v>
      </c>
      <c r="HA74" s="47">
        <v>30000</v>
      </c>
      <c r="HB74" s="47">
        <v>30000</v>
      </c>
      <c r="HC74" s="47">
        <v>30000</v>
      </c>
      <c r="HD74" s="47">
        <v>30000</v>
      </c>
      <c r="HE74" s="47">
        <v>30000</v>
      </c>
      <c r="HF74" s="47">
        <v>30000</v>
      </c>
      <c r="HG74" s="48">
        <v>30000</v>
      </c>
      <c r="HH74" s="49"/>
      <c r="HI74" s="49"/>
      <c r="HJ74" s="51">
        <v>30000</v>
      </c>
      <c r="HK74" s="52">
        <v>30000</v>
      </c>
      <c r="HL74" s="52">
        <v>30000</v>
      </c>
      <c r="HM74" s="52">
        <v>30000</v>
      </c>
      <c r="HN74" s="52">
        <v>30000</v>
      </c>
      <c r="HO74" s="52">
        <v>30000</v>
      </c>
      <c r="HP74" s="52">
        <v>30000</v>
      </c>
      <c r="HQ74" s="52">
        <v>94000</v>
      </c>
      <c r="HR74" s="52">
        <v>94000</v>
      </c>
      <c r="HS74" s="52">
        <v>94000</v>
      </c>
      <c r="HT74" s="52">
        <v>94000</v>
      </c>
      <c r="HU74" s="52">
        <v>94000</v>
      </c>
      <c r="HV74" s="52">
        <v>55000</v>
      </c>
      <c r="HW74" s="52">
        <v>55000</v>
      </c>
      <c r="HX74" s="52">
        <v>55000</v>
      </c>
      <c r="HY74" s="53">
        <v>55000</v>
      </c>
      <c r="HZ74" s="50"/>
      <c r="IA74" s="50"/>
      <c r="IB74" s="73">
        <v>55000</v>
      </c>
      <c r="IC74" s="50">
        <v>55000</v>
      </c>
      <c r="ID74" s="50">
        <v>55000</v>
      </c>
      <c r="IE74" s="50">
        <v>55000</v>
      </c>
      <c r="IF74" s="50">
        <v>55000</v>
      </c>
      <c r="IG74" s="50">
        <v>55000</v>
      </c>
      <c r="IH74" s="50">
        <v>55000</v>
      </c>
      <c r="II74" s="50">
        <v>55000</v>
      </c>
      <c r="IJ74" s="12">
        <v>55000</v>
      </c>
      <c r="IK74" s="23" t="s">
        <v>91</v>
      </c>
      <c r="IL74" s="12"/>
      <c r="IM74" s="12"/>
      <c r="IN74" s="12"/>
      <c r="IO74" s="12"/>
      <c r="IP74" s="12"/>
    </row>
    <row r="75" spans="1:262" ht="15" thickBot="1" x14ac:dyDescent="0.25">
      <c r="A75" s="41" t="s">
        <v>4</v>
      </c>
      <c r="B75" s="105">
        <f>SUM(C75:ZZ75)</f>
        <v>3812700</v>
      </c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  <c r="AJ75" s="12"/>
      <c r="AK75" s="12"/>
      <c r="AL75" s="12"/>
      <c r="AM75" s="12"/>
      <c r="AN75" s="12"/>
      <c r="AO75" s="41"/>
      <c r="AP75" s="12"/>
      <c r="AQ75" s="12"/>
      <c r="AR75" s="12"/>
      <c r="AS75" s="12"/>
      <c r="AT75" s="12"/>
      <c r="AU75" s="12"/>
      <c r="AV75" s="12"/>
      <c r="AW75" s="70"/>
      <c r="AX75" s="12"/>
      <c r="AY75" s="12"/>
      <c r="AZ75" s="12"/>
      <c r="BA75" s="12"/>
      <c r="BB75" s="12"/>
      <c r="BC75" s="12"/>
      <c r="BD75" s="12"/>
      <c r="BE75" s="12"/>
      <c r="BF75" s="12"/>
      <c r="BS75" s="12"/>
      <c r="BT75" s="70"/>
      <c r="CM75" s="12"/>
      <c r="CN75" s="70"/>
      <c r="FK75" s="56">
        <v>7800</v>
      </c>
      <c r="FL75" s="54">
        <v>18900</v>
      </c>
      <c r="FM75" s="54">
        <v>20400</v>
      </c>
      <c r="FN75" s="54">
        <v>19200</v>
      </c>
      <c r="FO75" s="54">
        <v>15000</v>
      </c>
      <c r="FP75" s="54"/>
      <c r="FQ75" s="54"/>
      <c r="FR75" s="54">
        <v>30150</v>
      </c>
      <c r="FS75" s="54">
        <v>39600</v>
      </c>
      <c r="FT75" s="54">
        <v>50250</v>
      </c>
      <c r="FU75" s="54">
        <v>17850</v>
      </c>
      <c r="FV75" s="54">
        <f>132000+100000+75150</f>
        <v>307150</v>
      </c>
      <c r="FW75" s="57"/>
      <c r="FX75" s="12"/>
      <c r="FY75" s="12"/>
      <c r="FZ75" s="56">
        <f>100000+4650</f>
        <v>104650</v>
      </c>
      <c r="GA75" s="54"/>
      <c r="GB75" s="54">
        <v>2700</v>
      </c>
      <c r="GC75" s="54">
        <f>200000+11250</f>
        <v>211250</v>
      </c>
      <c r="GD75" s="54">
        <v>19950</v>
      </c>
      <c r="GE75" s="54">
        <f>150000+89100</f>
        <v>239100</v>
      </c>
      <c r="GF75" s="54">
        <v>39150</v>
      </c>
      <c r="GG75" s="54">
        <v>26700</v>
      </c>
      <c r="GH75" s="54">
        <v>23250</v>
      </c>
      <c r="GI75" s="54">
        <v>24600</v>
      </c>
      <c r="GJ75" s="54">
        <f>100000+48900</f>
        <v>148900</v>
      </c>
      <c r="GK75" s="54">
        <v>92100</v>
      </c>
      <c r="GL75" s="54">
        <v>68700</v>
      </c>
      <c r="GM75" s="54">
        <v>159000</v>
      </c>
      <c r="GN75" s="54">
        <v>132000</v>
      </c>
      <c r="GO75" s="57">
        <v>100000</v>
      </c>
      <c r="GP75" s="12"/>
      <c r="GQ75" s="12"/>
      <c r="GR75" s="59">
        <v>12450</v>
      </c>
      <c r="GS75" s="60">
        <v>3750</v>
      </c>
      <c r="GT75" s="60">
        <v>2700</v>
      </c>
      <c r="GU75" s="60">
        <v>90000</v>
      </c>
      <c r="GV75" s="60">
        <v>9000</v>
      </c>
      <c r="GW75" s="60">
        <v>20100</v>
      </c>
      <c r="GX75" s="60">
        <v>31800</v>
      </c>
      <c r="GY75" s="60">
        <v>66300</v>
      </c>
      <c r="GZ75" s="60">
        <v>101500</v>
      </c>
      <c r="HA75" s="60">
        <v>45150</v>
      </c>
      <c r="HB75" s="60">
        <v>99150</v>
      </c>
      <c r="HC75" s="60">
        <v>53700</v>
      </c>
      <c r="HD75" s="60">
        <v>52200</v>
      </c>
      <c r="HE75" s="49">
        <v>31350</v>
      </c>
      <c r="HF75" s="49">
        <v>54600</v>
      </c>
      <c r="HG75" s="92">
        <v>132000</v>
      </c>
      <c r="HH75" s="49"/>
      <c r="HI75" s="49"/>
      <c r="HJ75" s="74"/>
      <c r="HK75" s="64"/>
      <c r="HL75" s="64"/>
      <c r="HM75" s="64">
        <v>16650</v>
      </c>
      <c r="HN75" s="64">
        <v>11550</v>
      </c>
      <c r="HO75" s="64">
        <v>226500</v>
      </c>
      <c r="HP75" s="64">
        <v>26250</v>
      </c>
      <c r="HQ75" s="64">
        <v>33450</v>
      </c>
      <c r="HR75" s="64">
        <v>64500</v>
      </c>
      <c r="HS75" s="64"/>
      <c r="HT75" s="64">
        <v>88050</v>
      </c>
      <c r="HU75" s="64">
        <v>34950</v>
      </c>
      <c r="HV75" s="64">
        <v>61050</v>
      </c>
      <c r="HW75" s="64"/>
      <c r="HX75" s="64">
        <v>120600</v>
      </c>
      <c r="HY75" s="65">
        <v>132000</v>
      </c>
      <c r="HZ75" s="50"/>
      <c r="IA75" s="50"/>
      <c r="IB75" s="73">
        <v>50000</v>
      </c>
      <c r="IC75" s="50"/>
      <c r="ID75" s="50"/>
      <c r="IE75" s="50">
        <v>5700</v>
      </c>
      <c r="IF75" s="50">
        <v>38700</v>
      </c>
      <c r="IG75" s="50">
        <v>145050</v>
      </c>
      <c r="IH75" s="50">
        <v>33600</v>
      </c>
      <c r="II75" s="50"/>
      <c r="IJ75" s="12"/>
      <c r="IK75" s="23" t="s">
        <v>83</v>
      </c>
      <c r="IL75" s="12"/>
      <c r="IM75" s="12"/>
      <c r="IN75" s="12"/>
      <c r="IO75" s="12"/>
      <c r="IP75" s="12"/>
    </row>
    <row r="76" spans="1:262" ht="15" x14ac:dyDescent="0.25">
      <c r="A76" s="41" t="s">
        <v>6</v>
      </c>
      <c r="B76" s="107">
        <f>B75-B74</f>
        <v>-737300</v>
      </c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 s="12"/>
      <c r="AJ76" s="12"/>
      <c r="AK76" s="12"/>
      <c r="AL76" s="12"/>
      <c r="AM76" s="12"/>
      <c r="AN76" s="12"/>
      <c r="AO76" s="41"/>
      <c r="AP76" s="12"/>
      <c r="AQ76" s="12"/>
      <c r="AR76" s="12"/>
      <c r="AS76" s="12"/>
      <c r="AT76" s="12"/>
      <c r="AU76" s="12"/>
      <c r="AV76" s="12"/>
      <c r="AW76" s="70"/>
      <c r="AX76" s="12"/>
      <c r="AY76" s="12"/>
      <c r="AZ76" s="12"/>
      <c r="BA76" s="12"/>
      <c r="BB76" s="12"/>
      <c r="BC76" s="12"/>
      <c r="BD76" s="12"/>
      <c r="BE76" s="12"/>
      <c r="BF76" s="12"/>
      <c r="BS76" s="12"/>
      <c r="BT76" s="70"/>
      <c r="CM76" s="12"/>
      <c r="CN76" s="70"/>
      <c r="FV76" s="66" t="s">
        <v>66</v>
      </c>
      <c r="FW76" s="67">
        <f>SUM(FK75:FW75)-SUM(FK74:FW74)</f>
        <v>-737700</v>
      </c>
      <c r="GN76" s="66" t="s">
        <v>66</v>
      </c>
      <c r="GO76" s="67">
        <f>SUM(FZ75:GO75)-SUM(FZ74:GO74)</f>
        <v>169050</v>
      </c>
      <c r="GR76" s="7"/>
      <c r="GS76" s="7"/>
      <c r="GT76" s="7"/>
      <c r="GU76" s="7"/>
      <c r="GV76" s="7"/>
      <c r="GW76" s="7"/>
      <c r="GX76" s="7"/>
      <c r="GY76" s="7"/>
      <c r="GZ76" s="7"/>
      <c r="HA76" s="7"/>
      <c r="HB76" s="7"/>
      <c r="HC76" s="7"/>
      <c r="HD76" s="7"/>
      <c r="HE76" s="32" t="s">
        <v>67</v>
      </c>
      <c r="HF76" s="33">
        <f>SUM(GR75:HG75)-SUM(GR74:HG74)</f>
        <v>137750</v>
      </c>
      <c r="HG76" s="7"/>
      <c r="HH76" s="7"/>
      <c r="HI76" s="7"/>
      <c r="HJ76" s="8"/>
      <c r="HK76" s="8"/>
      <c r="HL76" s="8"/>
      <c r="HM76" s="8"/>
      <c r="HN76" s="8"/>
      <c r="HO76" s="8"/>
      <c r="HP76" s="8"/>
      <c r="HQ76" s="8"/>
      <c r="HR76" s="8"/>
      <c r="HS76" s="8"/>
      <c r="HT76" s="8"/>
      <c r="HU76" s="8"/>
      <c r="HV76" s="8"/>
      <c r="HW76" s="8"/>
      <c r="HX76" s="8"/>
      <c r="HY76" s="34" t="s">
        <v>68</v>
      </c>
      <c r="HZ76" s="35">
        <f>SUM(HJ75:HY75)-SUM(HJ74:HY74)</f>
        <v>-84450</v>
      </c>
      <c r="IA76" s="8"/>
      <c r="IB76" s="8"/>
      <c r="IC76" s="8"/>
      <c r="ID76" s="8"/>
      <c r="IE76" s="8"/>
      <c r="IF76" s="8"/>
      <c r="IG76" s="8"/>
      <c r="IH76" s="8"/>
      <c r="II76" s="8"/>
      <c r="IK76" s="11" t="s">
        <v>9</v>
      </c>
    </row>
    <row r="77" spans="1:262" ht="15" x14ac:dyDescent="0.25">
      <c r="A77" s="41"/>
      <c r="B77" s="107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 s="12"/>
      <c r="AJ77" s="12"/>
      <c r="AK77" s="12"/>
      <c r="AL77" s="12"/>
      <c r="AM77" s="12"/>
      <c r="AN77" s="12"/>
      <c r="AO77" s="41"/>
      <c r="AP77" s="12"/>
      <c r="AQ77" s="12"/>
      <c r="AR77" s="12"/>
      <c r="AS77" s="12"/>
      <c r="AT77" s="12"/>
      <c r="AU77" s="12"/>
      <c r="AV77" s="12"/>
      <c r="AW77" s="70"/>
      <c r="AX77" s="12"/>
      <c r="AY77" s="12"/>
      <c r="AZ77" s="12"/>
      <c r="BA77" s="12"/>
      <c r="BB77" s="12"/>
      <c r="BC77" s="12"/>
      <c r="BD77" s="12"/>
      <c r="BE77" s="12"/>
      <c r="BF77" s="12"/>
      <c r="BS77" s="12"/>
      <c r="BT77" s="70"/>
      <c r="CM77" s="12"/>
      <c r="CN77" s="70"/>
      <c r="FV77" s="12"/>
      <c r="FW77" s="70">
        <f>SUM(FK75:FW75)/SUM(FK74:FW74)</f>
        <v>0.41637658227848101</v>
      </c>
      <c r="GN77" s="12"/>
      <c r="GO77" s="70">
        <f>SUM(FZ75:GO75)/SUM(FZ74:GO74)</f>
        <v>1.1382256745707278</v>
      </c>
      <c r="GR77" s="7"/>
      <c r="GS77" s="7"/>
      <c r="GT77" s="7"/>
      <c r="GU77" s="7"/>
      <c r="GV77" s="7"/>
      <c r="GW77" s="7"/>
      <c r="GX77" s="7"/>
      <c r="GY77" s="7"/>
      <c r="GZ77" s="7"/>
      <c r="HA77" s="7"/>
      <c r="HB77" s="7"/>
      <c r="HC77" s="7"/>
      <c r="HD77" s="7"/>
      <c r="HE77" s="37"/>
      <c r="HF77" s="38">
        <f>SUM(GR75:HG75)/SUM(GR74:HG74)</f>
        <v>1.2062125748502994</v>
      </c>
      <c r="HG77" s="7"/>
      <c r="HH77" s="7"/>
      <c r="HI77" s="7"/>
      <c r="HJ77" s="8"/>
      <c r="HK77" s="8"/>
      <c r="HL77" s="8"/>
      <c r="HM77" s="8"/>
      <c r="HN77" s="8"/>
      <c r="HO77" s="8"/>
      <c r="HP77" s="8"/>
      <c r="HQ77" s="8"/>
      <c r="HR77" s="8"/>
      <c r="HS77" s="8"/>
      <c r="HT77" s="8"/>
      <c r="HU77" s="8"/>
      <c r="HV77" s="8"/>
      <c r="HW77" s="8"/>
      <c r="HX77" s="8"/>
      <c r="HY77" s="39"/>
      <c r="HZ77" s="40">
        <f>SUM(HJ75:HY75)/SUM(HJ74:HY74)</f>
        <v>0.90616666666666668</v>
      </c>
      <c r="IA77" s="8"/>
      <c r="IB77" s="8"/>
      <c r="IC77" s="8"/>
      <c r="ID77" s="8"/>
      <c r="IE77" s="8"/>
      <c r="IF77" s="8"/>
      <c r="IG77" s="8"/>
      <c r="IH77" s="8"/>
      <c r="II77" s="8"/>
      <c r="IK77" s="11"/>
    </row>
    <row r="78" spans="1:262" ht="15" x14ac:dyDescent="0.25">
      <c r="A78" s="103" t="s">
        <v>69</v>
      </c>
      <c r="B78" s="104">
        <f>B80/B79</f>
        <v>0.76986503147810714</v>
      </c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 s="12"/>
      <c r="AJ78" s="12"/>
      <c r="AK78" s="12"/>
      <c r="AL78" s="12"/>
      <c r="AM78" s="12"/>
      <c r="AN78" s="12"/>
      <c r="AO78" s="41"/>
      <c r="AP78" s="12"/>
      <c r="AQ78" s="12"/>
      <c r="AR78" s="12"/>
      <c r="AS78" s="12"/>
      <c r="AT78" s="12"/>
      <c r="AU78" s="12"/>
      <c r="AV78" s="12"/>
      <c r="AW78" s="70"/>
      <c r="AX78" s="12"/>
      <c r="AY78" s="12"/>
      <c r="AZ78" s="12"/>
      <c r="BA78" s="12"/>
      <c r="BB78" s="12"/>
      <c r="BC78" s="12"/>
      <c r="BD78" s="12"/>
      <c r="BE78" s="12"/>
      <c r="BF78" s="12"/>
      <c r="BS78" s="12"/>
      <c r="BT78" s="70"/>
      <c r="CM78" s="12"/>
      <c r="CN78" s="70"/>
      <c r="GR78" s="7"/>
      <c r="GS78" s="7"/>
      <c r="GT78" s="7"/>
      <c r="GU78" s="7"/>
      <c r="GV78" s="7"/>
      <c r="GW78" s="7"/>
      <c r="GX78" s="7"/>
      <c r="GY78" s="7"/>
      <c r="GZ78" s="7"/>
      <c r="HA78" s="7"/>
      <c r="HB78" s="7"/>
      <c r="HC78" s="7"/>
      <c r="HD78" s="7"/>
      <c r="HE78" s="7"/>
      <c r="HF78" s="7"/>
      <c r="HG78" s="7"/>
      <c r="HH78" s="7"/>
      <c r="HI78" s="7"/>
      <c r="HJ78" s="8"/>
      <c r="HK78" s="8"/>
      <c r="HL78" s="8"/>
      <c r="HM78" s="8"/>
      <c r="HN78" s="8"/>
      <c r="HO78" s="8"/>
      <c r="HP78" s="8"/>
      <c r="HQ78" s="8"/>
      <c r="HR78" s="8"/>
      <c r="HS78" s="8"/>
      <c r="HT78" s="8"/>
      <c r="HU78" s="8"/>
      <c r="HV78" s="8"/>
      <c r="HW78" s="8"/>
      <c r="HX78" s="8"/>
      <c r="HY78" s="8"/>
      <c r="HZ78" s="8"/>
      <c r="IA78" s="8"/>
      <c r="IB78" s="8"/>
      <c r="IC78" s="8"/>
      <c r="ID78" s="8"/>
      <c r="IE78" s="8"/>
      <c r="IF78" s="8"/>
      <c r="IG78" s="8"/>
      <c r="IH78" s="8"/>
      <c r="II78" s="8"/>
      <c r="IK78" s="11" t="s">
        <v>11</v>
      </c>
    </row>
    <row r="79" spans="1:262" x14ac:dyDescent="0.2">
      <c r="A79" s="41" t="s">
        <v>2</v>
      </c>
      <c r="B79" s="105">
        <f>SUM(C79:ZZ79)</f>
        <v>4582550</v>
      </c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 s="12"/>
      <c r="AJ79" s="12"/>
      <c r="AK79" s="12"/>
      <c r="AL79" s="12"/>
      <c r="AM79" s="12"/>
      <c r="AN79" s="12"/>
      <c r="AO79" s="12"/>
      <c r="AP79" s="12"/>
      <c r="AQ79" s="12"/>
      <c r="AR79" s="12"/>
      <c r="AS79" s="12"/>
      <c r="AT79" s="12"/>
      <c r="AU79" s="12"/>
      <c r="AV79" s="12"/>
      <c r="AW79" s="12"/>
      <c r="AX79" s="12"/>
      <c r="AY79" s="12"/>
      <c r="AZ79" s="12"/>
      <c r="BA79" s="12"/>
      <c r="BB79" s="12"/>
      <c r="BC79" s="12"/>
      <c r="BD79" s="12"/>
      <c r="BE79" s="12"/>
      <c r="BF79" s="12"/>
      <c r="BG79" s="12"/>
      <c r="BH79" s="12"/>
      <c r="BI79" s="12"/>
      <c r="BJ79" s="12"/>
      <c r="BK79" s="12"/>
      <c r="BL79" s="12"/>
      <c r="BM79" s="12"/>
      <c r="BN79" s="12"/>
      <c r="BO79" s="12"/>
      <c r="BP79" s="12"/>
      <c r="BQ79" s="12"/>
      <c r="BR79" s="12"/>
      <c r="BS79" s="12"/>
      <c r="BT79" s="12"/>
      <c r="BU79" s="12"/>
      <c r="BV79" s="12"/>
      <c r="BW79" s="12"/>
      <c r="BX79" s="12"/>
      <c r="BY79" s="12"/>
      <c r="BZ79" s="12"/>
      <c r="CA79" s="12"/>
      <c r="CB79" s="12"/>
      <c r="CC79" s="12"/>
      <c r="CD79" s="12"/>
      <c r="CE79" s="12"/>
      <c r="CF79" s="12"/>
      <c r="CG79" s="12"/>
      <c r="CH79" s="12"/>
      <c r="CI79" s="12"/>
      <c r="CJ79" s="12"/>
      <c r="CK79" s="12"/>
      <c r="CL79" s="12"/>
      <c r="CM79" s="12"/>
      <c r="CN79" s="12"/>
      <c r="CO79" s="12"/>
      <c r="CP79" s="12"/>
      <c r="CQ79" s="12"/>
      <c r="CR79" s="12"/>
      <c r="CS79" s="12"/>
      <c r="CT79" s="12"/>
      <c r="CU79" s="12"/>
      <c r="CV79" s="12"/>
      <c r="CW79" s="12"/>
      <c r="CX79" s="12"/>
      <c r="CY79" s="12"/>
      <c r="CZ79" s="12"/>
      <c r="DA79" s="12"/>
      <c r="DB79" s="12"/>
      <c r="DC79" s="12"/>
      <c r="DD79" s="12"/>
      <c r="DE79" s="12"/>
      <c r="DF79" s="12"/>
      <c r="DG79" s="12"/>
      <c r="DH79" s="12"/>
      <c r="DI79" s="12"/>
      <c r="DJ79" s="12"/>
      <c r="DK79" s="12"/>
      <c r="DL79" s="12"/>
      <c r="DM79" s="12"/>
      <c r="DN79" s="12"/>
      <c r="DO79" s="12"/>
      <c r="DP79" s="12"/>
      <c r="DQ79" s="12"/>
      <c r="DR79" s="12"/>
      <c r="DS79" s="43">
        <v>133100</v>
      </c>
      <c r="DT79" s="12"/>
      <c r="DU79" s="12"/>
      <c r="DV79" s="44">
        <v>187450</v>
      </c>
      <c r="DW79" s="42">
        <v>77000</v>
      </c>
      <c r="DX79" s="42">
        <v>77000</v>
      </c>
      <c r="DY79" s="42">
        <v>73000</v>
      </c>
      <c r="DZ79" s="42">
        <v>57000</v>
      </c>
      <c r="EA79" s="42">
        <v>46000</v>
      </c>
      <c r="EB79" s="42">
        <v>35000</v>
      </c>
      <c r="EC79" s="42">
        <v>32000</v>
      </c>
      <c r="ED79" s="42">
        <v>36000</v>
      </c>
      <c r="EE79" s="42">
        <v>36000</v>
      </c>
      <c r="EF79" s="42">
        <v>36000</v>
      </c>
      <c r="EG79" s="42">
        <v>45000</v>
      </c>
      <c r="EH79" s="42">
        <v>45000</v>
      </c>
      <c r="EI79" s="42">
        <v>49000</v>
      </c>
      <c r="EJ79" s="42">
        <v>48000</v>
      </c>
      <c r="EK79" s="43">
        <v>48000</v>
      </c>
      <c r="EL79" s="12"/>
      <c r="EM79" s="12"/>
      <c r="EN79" s="44">
        <v>48000</v>
      </c>
      <c r="EO79" s="42">
        <v>48000</v>
      </c>
      <c r="EP79" s="42">
        <v>48000</v>
      </c>
      <c r="EQ79" s="42">
        <v>48000</v>
      </c>
      <c r="ER79" s="42">
        <v>48000</v>
      </c>
      <c r="ES79" s="42">
        <v>48000</v>
      </c>
      <c r="ET79" s="42">
        <v>48000</v>
      </c>
      <c r="EU79" s="42">
        <v>48000</v>
      </c>
      <c r="EV79" s="42">
        <v>43000</v>
      </c>
      <c r="EW79" s="42">
        <v>43000</v>
      </c>
      <c r="EX79" s="42">
        <v>43000</v>
      </c>
      <c r="EY79" s="42">
        <v>43000</v>
      </c>
      <c r="EZ79" s="42">
        <v>43000</v>
      </c>
      <c r="FA79" s="42">
        <v>43000</v>
      </c>
      <c r="FB79" s="42">
        <v>43000</v>
      </c>
      <c r="FC79" s="43"/>
      <c r="FD79" s="12"/>
      <c r="FE79" s="12"/>
      <c r="FF79" s="12"/>
      <c r="FG79" s="12"/>
      <c r="FH79" s="12"/>
      <c r="FI79" s="12"/>
      <c r="FJ79" s="12"/>
      <c r="FK79" s="44">
        <v>43000</v>
      </c>
      <c r="FL79" s="42">
        <v>43000</v>
      </c>
      <c r="FM79" s="42">
        <v>43000</v>
      </c>
      <c r="FN79" s="42">
        <v>43000</v>
      </c>
      <c r="FO79" s="42">
        <v>43000</v>
      </c>
      <c r="FP79" s="42">
        <v>43000</v>
      </c>
      <c r="FQ79" s="42">
        <v>43000</v>
      </c>
      <c r="FR79" s="42">
        <v>43000</v>
      </c>
      <c r="FS79" s="42">
        <v>43000</v>
      </c>
      <c r="FT79" s="42">
        <v>43000</v>
      </c>
      <c r="FU79" s="42">
        <v>43000</v>
      </c>
      <c r="FV79" s="42">
        <v>43000</v>
      </c>
      <c r="FW79" s="42">
        <v>43000</v>
      </c>
      <c r="FX79" s="42">
        <v>43000</v>
      </c>
      <c r="FY79" s="42">
        <v>43000</v>
      </c>
      <c r="FZ79" s="43">
        <v>43000</v>
      </c>
      <c r="GA79" s="12"/>
      <c r="GB79" s="12"/>
      <c r="GC79" s="44">
        <v>43000</v>
      </c>
      <c r="GD79" s="42">
        <v>43000</v>
      </c>
      <c r="GE79" s="42">
        <v>43000</v>
      </c>
      <c r="GF79" s="42">
        <v>43000</v>
      </c>
      <c r="GG79" s="42">
        <v>43000</v>
      </c>
      <c r="GH79" s="42">
        <v>43000</v>
      </c>
      <c r="GI79" s="42">
        <v>43000</v>
      </c>
      <c r="GJ79" s="42"/>
      <c r="GK79" s="42">
        <v>43000</v>
      </c>
      <c r="GL79" s="42">
        <v>43000</v>
      </c>
      <c r="GM79" s="42">
        <v>43000</v>
      </c>
      <c r="GN79" s="42">
        <v>43000</v>
      </c>
      <c r="GO79" s="42">
        <v>43000</v>
      </c>
      <c r="GP79" s="42">
        <v>43000</v>
      </c>
      <c r="GQ79" s="42">
        <v>43000</v>
      </c>
      <c r="GR79" s="134">
        <v>43000</v>
      </c>
      <c r="GS79" s="49"/>
      <c r="GT79" s="46">
        <v>43000</v>
      </c>
      <c r="GU79" s="47"/>
      <c r="GV79" s="47">
        <v>43000</v>
      </c>
      <c r="GW79" s="47">
        <v>43000</v>
      </c>
      <c r="GX79" s="47">
        <v>43000</v>
      </c>
      <c r="GY79" s="47">
        <v>43000</v>
      </c>
      <c r="GZ79" s="47">
        <v>43000</v>
      </c>
      <c r="HA79" s="47">
        <v>43000</v>
      </c>
      <c r="HB79" s="47">
        <v>43000</v>
      </c>
      <c r="HC79" s="47">
        <v>43000</v>
      </c>
      <c r="HD79" s="47">
        <v>43000</v>
      </c>
      <c r="HE79" s="47">
        <v>43000</v>
      </c>
      <c r="HF79" s="47">
        <v>43000</v>
      </c>
      <c r="HG79" s="47">
        <v>43000</v>
      </c>
      <c r="HH79" s="47">
        <v>43000</v>
      </c>
      <c r="HI79" s="47">
        <v>43000</v>
      </c>
      <c r="HJ79" s="48">
        <v>43000</v>
      </c>
      <c r="HK79" s="50"/>
      <c r="HL79" s="50"/>
      <c r="HM79" s="51">
        <v>43000</v>
      </c>
      <c r="HN79" s="52">
        <v>43000</v>
      </c>
      <c r="HO79" s="52">
        <v>43000</v>
      </c>
      <c r="HP79" s="52">
        <v>43000</v>
      </c>
      <c r="HQ79" s="52">
        <v>43000</v>
      </c>
      <c r="HR79" s="52"/>
      <c r="HS79" s="52">
        <v>43000</v>
      </c>
      <c r="HT79" s="52">
        <v>43000</v>
      </c>
      <c r="HU79" s="52">
        <v>43000</v>
      </c>
      <c r="HV79" s="52">
        <v>43000</v>
      </c>
      <c r="HW79" s="52">
        <v>43000</v>
      </c>
      <c r="HX79" s="52">
        <v>43000</v>
      </c>
      <c r="HY79" s="52">
        <v>43000</v>
      </c>
      <c r="HZ79" s="52">
        <v>60000</v>
      </c>
      <c r="IA79" s="53">
        <v>60000</v>
      </c>
      <c r="IB79" s="50"/>
      <c r="IC79" s="73">
        <v>60000</v>
      </c>
      <c r="ID79" s="50"/>
      <c r="IE79" s="50">
        <v>60000</v>
      </c>
      <c r="IF79" s="50">
        <v>60000</v>
      </c>
      <c r="IG79" s="50">
        <v>0</v>
      </c>
      <c r="IH79" s="50">
        <v>0</v>
      </c>
      <c r="II79" s="50">
        <v>0</v>
      </c>
      <c r="IJ79" s="12">
        <v>0</v>
      </c>
      <c r="IK79" s="23" t="s">
        <v>23</v>
      </c>
      <c r="IL79" s="12"/>
      <c r="IM79" s="12"/>
      <c r="IN79" s="12"/>
      <c r="IO79" s="12"/>
      <c r="IP79" s="12"/>
      <c r="IQ79" s="12"/>
      <c r="IR79" s="12"/>
      <c r="IS79" s="12"/>
      <c r="IT79" s="12"/>
      <c r="IU79" s="12"/>
      <c r="IV79" s="12"/>
      <c r="IW79" s="12"/>
      <c r="IX79" s="12"/>
      <c r="IY79" s="12"/>
      <c r="IZ79" s="12"/>
      <c r="JA79" s="12"/>
      <c r="JB79" s="12"/>
    </row>
    <row r="80" spans="1:262" ht="15" thickBot="1" x14ac:dyDescent="0.25">
      <c r="A80" s="41" t="s">
        <v>4</v>
      </c>
      <c r="B80" s="105">
        <f>SUM(C80:ZZ80)</f>
        <v>3527945</v>
      </c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 s="12"/>
      <c r="AJ80" s="12"/>
      <c r="AK80" s="12"/>
      <c r="AL80" s="12"/>
      <c r="AM80" s="12"/>
      <c r="AN80" s="12"/>
      <c r="AO80" s="12"/>
      <c r="AP80" s="12"/>
      <c r="AQ80" s="12"/>
      <c r="AR80" s="12"/>
      <c r="AS80" s="12"/>
      <c r="AT80" s="12"/>
      <c r="AU80" s="12"/>
      <c r="AV80" s="12"/>
      <c r="AW80" s="12"/>
      <c r="AX80" s="12"/>
      <c r="AY80" s="12"/>
      <c r="AZ80" s="12"/>
      <c r="BA80" s="12"/>
      <c r="BB80" s="12"/>
      <c r="BC80" s="12"/>
      <c r="BD80" s="12"/>
      <c r="BE80" s="12"/>
      <c r="BF80" s="12"/>
      <c r="BG80" s="12"/>
      <c r="BH80" s="12"/>
      <c r="BI80" s="12"/>
      <c r="BJ80" s="12"/>
      <c r="BK80" s="12"/>
      <c r="BL80" s="12"/>
      <c r="BM80" s="12"/>
      <c r="BN80" s="12"/>
      <c r="BO80" s="12"/>
      <c r="BP80" s="12"/>
      <c r="BQ80" s="12"/>
      <c r="BR80" s="12"/>
      <c r="BS80" s="12"/>
      <c r="BT80" s="12"/>
      <c r="BU80" s="12"/>
      <c r="BV80" s="12"/>
      <c r="BW80" s="12"/>
      <c r="BX80" s="12"/>
      <c r="BY80" s="12"/>
      <c r="BZ80" s="12"/>
      <c r="CA80" s="12"/>
      <c r="CB80" s="12"/>
      <c r="CC80" s="12"/>
      <c r="CD80" s="12"/>
      <c r="CE80" s="12"/>
      <c r="CF80" s="12"/>
      <c r="CG80" s="12"/>
      <c r="CH80" s="12"/>
      <c r="CI80" s="12"/>
      <c r="CJ80" s="12"/>
      <c r="CK80" s="12"/>
      <c r="CL80" s="12"/>
      <c r="CM80" s="12"/>
      <c r="CN80" s="12"/>
      <c r="CO80" s="12"/>
      <c r="CP80" s="12"/>
      <c r="CQ80" s="12"/>
      <c r="CR80" s="12"/>
      <c r="CS80" s="12"/>
      <c r="CT80" s="12"/>
      <c r="CU80" s="12"/>
      <c r="CV80" s="12"/>
      <c r="CW80" s="12"/>
      <c r="CX80" s="12"/>
      <c r="CY80" s="12"/>
      <c r="CZ80" s="12"/>
      <c r="DA80" s="12"/>
      <c r="DB80" s="12"/>
      <c r="DC80" s="12"/>
      <c r="DD80" s="12"/>
      <c r="DE80" s="12"/>
      <c r="DF80" s="12"/>
      <c r="DG80" s="12"/>
      <c r="DH80" s="12"/>
      <c r="DI80" s="12"/>
      <c r="DJ80" s="12"/>
      <c r="DK80" s="12"/>
      <c r="DL80" s="12"/>
      <c r="DM80" s="12"/>
      <c r="DN80" s="12"/>
      <c r="DO80" s="12"/>
      <c r="DP80" s="12"/>
      <c r="DQ80" s="12"/>
      <c r="DR80" s="106">
        <v>647950</v>
      </c>
      <c r="DS80" s="57">
        <v>2700</v>
      </c>
      <c r="DT80" s="12"/>
      <c r="DU80" s="12"/>
      <c r="DV80" s="56"/>
      <c r="DW80" s="54"/>
      <c r="DX80" s="54">
        <v>4050</v>
      </c>
      <c r="DY80" s="54">
        <v>5250</v>
      </c>
      <c r="DZ80" s="54">
        <v>12300</v>
      </c>
      <c r="EA80" s="54">
        <f>50000+21600</f>
        <v>71600</v>
      </c>
      <c r="EB80" s="54"/>
      <c r="EC80" s="54">
        <v>11850</v>
      </c>
      <c r="ED80" s="54">
        <v>30450</v>
      </c>
      <c r="EE80" s="54">
        <v>39900</v>
      </c>
      <c r="EF80" s="54">
        <v>7650</v>
      </c>
      <c r="EG80" s="54"/>
      <c r="EH80" s="54">
        <v>3000</v>
      </c>
      <c r="EI80" s="54">
        <v>16950</v>
      </c>
      <c r="EJ80" s="54">
        <f>132000+55350</f>
        <v>187350</v>
      </c>
      <c r="EK80" s="57"/>
      <c r="EL80" s="12"/>
      <c r="EM80" s="12"/>
      <c r="EN80" s="56">
        <v>8100</v>
      </c>
      <c r="EO80" s="54">
        <v>9600</v>
      </c>
      <c r="EP80" s="54">
        <v>3450</v>
      </c>
      <c r="EQ80" s="54"/>
      <c r="ER80" s="54">
        <v>5100</v>
      </c>
      <c r="ES80" s="54"/>
      <c r="ET80" s="54">
        <v>5400</v>
      </c>
      <c r="EU80" s="54">
        <v>11100</v>
      </c>
      <c r="EV80" s="54"/>
      <c r="EW80" s="54">
        <v>2700</v>
      </c>
      <c r="EX80" s="54">
        <v>3600</v>
      </c>
      <c r="EY80" s="54">
        <v>46050</v>
      </c>
      <c r="EZ80" s="54">
        <v>2100</v>
      </c>
      <c r="FA80" s="54">
        <v>1200</v>
      </c>
      <c r="FB80" s="54">
        <v>132000</v>
      </c>
      <c r="FC80" s="57"/>
      <c r="FD80" s="12"/>
      <c r="FE80" s="12"/>
      <c r="FF80" s="12"/>
      <c r="FG80" s="12"/>
      <c r="FH80" s="12"/>
      <c r="FI80" s="12"/>
      <c r="FJ80" s="12"/>
      <c r="FK80" s="56">
        <v>1500</v>
      </c>
      <c r="FL80" s="54">
        <v>1500</v>
      </c>
      <c r="FM80" s="54">
        <f>3750+35850</f>
        <v>39600</v>
      </c>
      <c r="FN80" s="54">
        <v>26400</v>
      </c>
      <c r="FO80" s="54"/>
      <c r="FP80" s="54">
        <v>9900</v>
      </c>
      <c r="FQ80" s="54">
        <v>8700</v>
      </c>
      <c r="FR80" s="54">
        <v>70800</v>
      </c>
      <c r="FS80" s="54">
        <v>66750</v>
      </c>
      <c r="FT80" s="54">
        <v>30150</v>
      </c>
      <c r="FU80" s="54">
        <v>7650</v>
      </c>
      <c r="FV80" s="54">
        <v>8850</v>
      </c>
      <c r="FW80" s="54">
        <v>3450</v>
      </c>
      <c r="FX80" s="54">
        <v>9150</v>
      </c>
      <c r="FY80" s="54">
        <v>234000</v>
      </c>
      <c r="FZ80" s="57"/>
      <c r="GA80" s="12"/>
      <c r="GB80" s="12"/>
      <c r="GC80" s="56">
        <f>5250+17250</f>
        <v>22500</v>
      </c>
      <c r="GD80" s="54">
        <v>1350</v>
      </c>
      <c r="GE80" s="54"/>
      <c r="GF80" s="54">
        <v>7050</v>
      </c>
      <c r="GG80" s="54"/>
      <c r="GH80" s="54"/>
      <c r="GI80" s="54"/>
      <c r="GJ80" s="54">
        <v>45750</v>
      </c>
      <c r="GK80" s="54">
        <v>15600</v>
      </c>
      <c r="GL80" s="54">
        <f>9000+42150</f>
        <v>51150</v>
      </c>
      <c r="GM80" s="54">
        <f>4350+99150</f>
        <v>103500</v>
      </c>
      <c r="GN80" s="54"/>
      <c r="GO80" s="54">
        <v>13350</v>
      </c>
      <c r="GP80" s="54">
        <v>8250</v>
      </c>
      <c r="GQ80" s="54">
        <f>234000+25650</f>
        <v>259650</v>
      </c>
      <c r="GR80" s="135"/>
      <c r="GS80" s="49"/>
      <c r="GT80" s="59"/>
      <c r="GU80" s="60"/>
      <c r="GV80" s="60">
        <v>9900</v>
      </c>
      <c r="GW80" s="60">
        <v>50</v>
      </c>
      <c r="GX80" s="60">
        <v>56100</v>
      </c>
      <c r="GY80" s="60">
        <v>1500</v>
      </c>
      <c r="GZ80" s="60">
        <v>10950</v>
      </c>
      <c r="HA80" s="60">
        <v>4595</v>
      </c>
      <c r="HB80" s="60"/>
      <c r="HC80" s="60">
        <f>32550+10950</f>
        <v>43500</v>
      </c>
      <c r="HD80" s="60">
        <f>12300+67350</f>
        <v>79650</v>
      </c>
      <c r="HE80" s="60">
        <f>65100+10200</f>
        <v>75300</v>
      </c>
      <c r="HF80" s="60">
        <v>3900</v>
      </c>
      <c r="HG80" s="60">
        <f>32400+39750</f>
        <v>72150</v>
      </c>
      <c r="HH80" s="60">
        <v>15450</v>
      </c>
      <c r="HI80" s="49">
        <v>234000</v>
      </c>
      <c r="HJ80" s="61"/>
      <c r="HK80" s="50"/>
      <c r="HL80" s="50"/>
      <c r="HM80" s="74">
        <f>45150+4200</f>
        <v>49350</v>
      </c>
      <c r="HN80" s="64">
        <f>2400+12900</f>
        <v>15300</v>
      </c>
      <c r="HO80" s="64"/>
      <c r="HP80" s="64">
        <v>4200</v>
      </c>
      <c r="HQ80" s="64">
        <v>12000</v>
      </c>
      <c r="HR80" s="64"/>
      <c r="HS80" s="64">
        <v>10200</v>
      </c>
      <c r="HT80" s="64">
        <v>27450</v>
      </c>
      <c r="HU80" s="64">
        <v>25100</v>
      </c>
      <c r="HV80" s="64">
        <v>67500</v>
      </c>
      <c r="HW80" s="64">
        <v>7800</v>
      </c>
      <c r="HX80" s="64">
        <v>15450</v>
      </c>
      <c r="HY80" s="64">
        <f>3750+50850</f>
        <v>54600</v>
      </c>
      <c r="HZ80" s="64">
        <f>57300+2550+234000</f>
        <v>293850</v>
      </c>
      <c r="IA80" s="65"/>
      <c r="IB80" s="50"/>
      <c r="IC80" s="73"/>
      <c r="ID80" s="50"/>
      <c r="IE80" s="50">
        <v>14000</v>
      </c>
      <c r="IF80" s="50">
        <v>6150</v>
      </c>
      <c r="IG80" s="50"/>
      <c r="IH80" s="50"/>
      <c r="II80" s="50"/>
      <c r="IJ80" s="12"/>
      <c r="IK80" s="23"/>
      <c r="IL80" s="12"/>
      <c r="IM80" s="12"/>
      <c r="IN80" s="12"/>
      <c r="IO80" s="12"/>
      <c r="IP80" s="12"/>
      <c r="IQ80" s="12"/>
      <c r="IR80" s="12"/>
      <c r="IS80" s="12"/>
      <c r="IT80" s="12"/>
      <c r="IU80" s="12"/>
      <c r="IV80" s="12"/>
      <c r="IW80" s="12"/>
      <c r="IX80" s="12"/>
      <c r="IY80" s="12"/>
      <c r="IZ80" s="12"/>
      <c r="JA80" s="12"/>
      <c r="JB80" s="12"/>
    </row>
    <row r="81" spans="1:245" ht="15" x14ac:dyDescent="0.25">
      <c r="A81" s="41" t="s">
        <v>6</v>
      </c>
      <c r="B81" s="116">
        <f>B80-B79</f>
        <v>-1054605</v>
      </c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 s="12"/>
      <c r="AJ81" s="12"/>
      <c r="AK81" s="12"/>
      <c r="AL81" s="12"/>
      <c r="AM81" s="12"/>
      <c r="AN81" s="12"/>
      <c r="AO81" s="41"/>
      <c r="AP81" s="12"/>
      <c r="AQ81" s="12"/>
      <c r="AR81" s="12"/>
      <c r="AS81" s="12"/>
      <c r="AT81" s="12"/>
      <c r="AU81" s="12"/>
      <c r="AV81" s="12"/>
      <c r="AW81" s="70"/>
      <c r="AX81" s="12"/>
      <c r="AY81" s="12"/>
      <c r="AZ81" s="12"/>
      <c r="BA81" s="12"/>
      <c r="BB81" s="12"/>
      <c r="BC81" s="12"/>
      <c r="BD81" s="12"/>
      <c r="BE81" s="12"/>
      <c r="BF81" s="12"/>
      <c r="BS81" s="12"/>
      <c r="BT81" s="70"/>
      <c r="CM81" s="12"/>
      <c r="CN81" s="70"/>
      <c r="DR81" s="85" t="s">
        <v>70</v>
      </c>
      <c r="DS81" s="87"/>
      <c r="EJ81" s="66" t="s">
        <v>66</v>
      </c>
      <c r="EK81" s="67">
        <f>SUM(DV80:EK80)-SUM(DV79:EK79)</f>
        <v>-537100</v>
      </c>
      <c r="FB81" s="66" t="s">
        <v>66</v>
      </c>
      <c r="FC81" s="67">
        <f>SUM(EN80:FC80)-SUM(EN79:FC79)</f>
        <v>-454600</v>
      </c>
      <c r="FY81" s="66" t="s">
        <v>27</v>
      </c>
      <c r="FZ81" s="67">
        <f>SUM(FK80:FZ80)-SUM(FK79:FZ79)</f>
        <v>-169600</v>
      </c>
      <c r="GQ81" s="66" t="s">
        <v>27</v>
      </c>
      <c r="GR81" s="117">
        <f>SUM(GC80:GR80)-SUM(GC79:GR79)</f>
        <v>-116850</v>
      </c>
      <c r="GS81" s="7"/>
      <c r="GT81" s="7"/>
      <c r="GU81" s="7"/>
      <c r="GV81" s="7"/>
      <c r="GW81" s="7"/>
      <c r="GX81" s="7"/>
      <c r="GY81" s="7"/>
      <c r="GZ81" s="7"/>
      <c r="HA81" s="7"/>
      <c r="HB81" s="7"/>
      <c r="HC81" s="7"/>
      <c r="HD81" s="7"/>
      <c r="HE81" s="7"/>
      <c r="HF81" s="7"/>
      <c r="HG81" s="7"/>
      <c r="HH81" s="7"/>
      <c r="HI81" s="32" t="s">
        <v>27</v>
      </c>
      <c r="HJ81" s="33">
        <f>SUM(GT80:HJ80)-SUM(GT79:HJ79)</f>
        <v>-80955</v>
      </c>
      <c r="HK81" s="8"/>
      <c r="HL81" s="8"/>
      <c r="HM81" s="8"/>
      <c r="HN81" s="8"/>
      <c r="HO81" s="8"/>
      <c r="HP81" s="8"/>
      <c r="HQ81" s="8"/>
      <c r="HR81" s="8"/>
      <c r="HS81" s="8"/>
      <c r="HT81" s="8"/>
      <c r="HU81" s="8"/>
      <c r="HV81" s="8"/>
      <c r="HW81" s="8"/>
      <c r="HX81" s="8"/>
      <c r="HY81" s="8"/>
      <c r="HZ81" s="8"/>
      <c r="IA81" s="34" t="s">
        <v>27</v>
      </c>
      <c r="IB81" s="35">
        <f>SUM(HM80:IA80)-SUM(HM79:IA79)</f>
        <v>-53200</v>
      </c>
      <c r="IC81" s="8"/>
      <c r="ID81" s="8"/>
      <c r="IE81" s="8"/>
      <c r="IF81" s="8"/>
      <c r="IG81" s="8"/>
      <c r="IH81" s="8"/>
      <c r="II81" s="8"/>
      <c r="IK81" s="11" t="s">
        <v>90</v>
      </c>
    </row>
    <row r="82" spans="1:245" ht="15" x14ac:dyDescent="0.25">
      <c r="A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 s="12"/>
      <c r="AJ82" s="12"/>
      <c r="AK82" s="12"/>
      <c r="AL82" s="12"/>
      <c r="AM82" s="12"/>
      <c r="AN82" s="12"/>
      <c r="AO82" s="41"/>
      <c r="AP82" s="12"/>
      <c r="AQ82" s="12"/>
      <c r="AR82" s="12"/>
      <c r="AS82" s="12"/>
      <c r="AT82" s="12"/>
      <c r="AU82" s="12"/>
      <c r="AV82" s="12"/>
      <c r="AW82" s="70"/>
      <c r="AX82" s="12"/>
      <c r="AY82" s="12"/>
      <c r="AZ82" s="12"/>
      <c r="BA82" s="12"/>
      <c r="BB82" s="12"/>
      <c r="BC82" s="12"/>
      <c r="BD82" s="12"/>
      <c r="BE82" s="12"/>
      <c r="BF82" s="12"/>
      <c r="BS82" s="12"/>
      <c r="BT82" s="70"/>
      <c r="CM82" s="12"/>
      <c r="CN82" s="70"/>
      <c r="DR82" s="12"/>
      <c r="DS82" s="70"/>
      <c r="EJ82" s="12"/>
      <c r="EK82" s="70">
        <f>SUM(DV80:EK80)/SUM(DV79:EK79)</f>
        <v>0.42088522292306862</v>
      </c>
      <c r="FB82" s="12"/>
      <c r="FC82" s="70">
        <f>SUM(EN80:FC80)/SUM(EN79:FC79)</f>
        <v>0.33635036496350362</v>
      </c>
      <c r="FY82" s="12"/>
      <c r="FZ82" s="70">
        <f>SUM(FK80:FZ80)/SUM(FK79:FZ79)</f>
        <v>0.75348837209302322</v>
      </c>
      <c r="GQ82" s="12"/>
      <c r="GR82" s="118">
        <f>SUM(GC80:GR80)/SUM(GC79:GR79)</f>
        <v>0.81883720930232562</v>
      </c>
      <c r="GS82" s="7"/>
      <c r="GT82" s="7"/>
      <c r="GU82" s="7"/>
      <c r="GV82" s="7"/>
      <c r="GW82" s="7"/>
      <c r="GX82" s="7"/>
      <c r="GY82" s="7"/>
      <c r="GZ82" s="7"/>
      <c r="HA82" s="7"/>
      <c r="HB82" s="7"/>
      <c r="HC82" s="7"/>
      <c r="HD82" s="7"/>
      <c r="HE82" s="7"/>
      <c r="HF82" s="7"/>
      <c r="HG82" s="7"/>
      <c r="HH82" s="7"/>
      <c r="HI82" s="37"/>
      <c r="HJ82" s="38">
        <f>SUM(GT80:HJ80)/SUM(GT79:HJ79)</f>
        <v>0.8823328488372093</v>
      </c>
      <c r="HK82" s="8"/>
      <c r="HL82" s="8"/>
      <c r="HM82" s="8"/>
      <c r="HN82" s="8"/>
      <c r="HO82" s="8"/>
      <c r="HP82" s="8"/>
      <c r="HQ82" s="8"/>
      <c r="HR82" s="8"/>
      <c r="HS82" s="8"/>
      <c r="HT82" s="8"/>
      <c r="HU82" s="8"/>
      <c r="HV82" s="8"/>
      <c r="HW82" s="8"/>
      <c r="HX82" s="8"/>
      <c r="HY82" s="8"/>
      <c r="HZ82" s="8"/>
      <c r="IA82" s="39"/>
      <c r="IB82" s="40">
        <f>SUM(HM80:IA80)/SUM(HM79:IA79)</f>
        <v>0.91635220125786165</v>
      </c>
      <c r="IC82" s="8"/>
      <c r="ID82" s="8"/>
      <c r="IE82" s="8"/>
      <c r="IF82" s="8"/>
      <c r="IG82" s="8"/>
      <c r="IH82" s="8"/>
      <c r="II82" s="8"/>
      <c r="IK82" s="11" t="s">
        <v>85</v>
      </c>
    </row>
    <row r="83" spans="1:245" ht="15" x14ac:dyDescent="0.25">
      <c r="A83" s="108" t="s">
        <v>71</v>
      </c>
      <c r="B83" s="109">
        <f>B85/B84</f>
        <v>0.7739535892431143</v>
      </c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 s="12"/>
      <c r="AJ83" s="12"/>
      <c r="AK83" s="12"/>
      <c r="AL83" s="12"/>
      <c r="AM83" s="12"/>
      <c r="AN83" s="12"/>
      <c r="AO83" s="41"/>
      <c r="AP83" s="12"/>
      <c r="AQ83" s="12"/>
      <c r="AR83" s="12"/>
      <c r="AS83" s="12"/>
      <c r="AT83" s="12"/>
      <c r="AU83" s="12"/>
      <c r="AV83" s="12"/>
      <c r="AW83" s="12"/>
      <c r="AX83" s="12"/>
      <c r="AY83" s="12"/>
      <c r="AZ83" s="12"/>
      <c r="BA83" s="12"/>
      <c r="BB83" s="12"/>
      <c r="BC83" s="12"/>
      <c r="BD83" s="12"/>
      <c r="BE83" s="12"/>
      <c r="BF83" s="12"/>
      <c r="GR83" s="7"/>
      <c r="GS83" s="7"/>
      <c r="GT83" s="7"/>
      <c r="GU83" s="7"/>
      <c r="GV83" s="7"/>
      <c r="GW83" s="7"/>
      <c r="GX83" s="7"/>
      <c r="GY83" s="7"/>
      <c r="GZ83" s="7"/>
      <c r="HA83" s="7"/>
      <c r="HB83" s="7"/>
      <c r="HC83" s="7"/>
      <c r="HD83" s="7"/>
      <c r="HE83" s="7"/>
      <c r="HF83" s="7"/>
      <c r="HG83" s="7"/>
      <c r="HH83" s="7"/>
      <c r="HI83" s="7"/>
      <c r="HJ83" s="7"/>
      <c r="HK83" s="8"/>
      <c r="HL83" s="8"/>
      <c r="HM83" s="8"/>
      <c r="HN83" s="8"/>
      <c r="HO83" s="8"/>
      <c r="HP83" s="8"/>
      <c r="HQ83" s="8"/>
      <c r="HR83" s="8"/>
      <c r="HS83" s="8"/>
      <c r="HT83" s="8"/>
      <c r="HU83" s="8"/>
      <c r="HV83" s="8"/>
      <c r="HW83" s="8"/>
      <c r="HX83" s="8"/>
      <c r="HY83" s="8"/>
      <c r="HZ83" s="8"/>
      <c r="IA83" s="8"/>
      <c r="IB83" s="8"/>
      <c r="IC83" s="8"/>
      <c r="ID83" s="8"/>
      <c r="IE83" s="8"/>
      <c r="IF83" s="8"/>
      <c r="IG83" s="8"/>
      <c r="IH83" s="8"/>
      <c r="II83" s="8"/>
      <c r="IK83" s="11" t="s">
        <v>92</v>
      </c>
    </row>
    <row r="84" spans="1:245" s="12" customFormat="1" x14ac:dyDescent="0.2">
      <c r="A84" s="110" t="s">
        <v>2</v>
      </c>
      <c r="B84" s="111">
        <f>SUM(C84:ZZ84)</f>
        <v>4611000</v>
      </c>
      <c r="C84" s="44">
        <v>147000</v>
      </c>
      <c r="D84" s="42">
        <v>147000</v>
      </c>
      <c r="E84" s="42">
        <v>147000</v>
      </c>
      <c r="F84" s="42">
        <v>139000</v>
      </c>
      <c r="G84" s="42">
        <v>139000</v>
      </c>
      <c r="H84" s="42"/>
      <c r="I84" s="42">
        <v>139000</v>
      </c>
      <c r="J84" s="42">
        <v>110000</v>
      </c>
      <c r="K84" s="42">
        <v>105000</v>
      </c>
      <c r="L84" s="42">
        <v>105000</v>
      </c>
      <c r="M84" s="42">
        <v>105000</v>
      </c>
      <c r="N84" s="42">
        <v>105000</v>
      </c>
      <c r="O84" s="42">
        <v>105000</v>
      </c>
      <c r="P84" s="42">
        <v>96000</v>
      </c>
      <c r="Q84" s="42">
        <v>96000</v>
      </c>
      <c r="R84" s="42">
        <v>96000</v>
      </c>
      <c r="S84" s="43">
        <v>96000</v>
      </c>
      <c r="T84" s="44">
        <v>96000</v>
      </c>
      <c r="U84" s="42">
        <v>96000</v>
      </c>
      <c r="V84" s="42"/>
      <c r="W84" s="42">
        <v>96000</v>
      </c>
      <c r="X84" s="42">
        <v>96000</v>
      </c>
      <c r="Y84" s="42">
        <v>57000</v>
      </c>
      <c r="Z84" s="42">
        <v>57000</v>
      </c>
      <c r="AA84" s="42">
        <v>63000</v>
      </c>
      <c r="AB84" s="42">
        <v>63000</v>
      </c>
      <c r="AC84" s="42">
        <v>63000</v>
      </c>
      <c r="AD84" s="42">
        <v>63000</v>
      </c>
      <c r="AE84" s="42">
        <v>63000</v>
      </c>
      <c r="AF84" s="42">
        <v>63000</v>
      </c>
      <c r="AG84" s="42">
        <v>63000</v>
      </c>
      <c r="AH84" s="42">
        <v>63000</v>
      </c>
      <c r="AI84" s="42">
        <v>63000</v>
      </c>
      <c r="AJ84" s="42">
        <v>63000</v>
      </c>
      <c r="AK84" s="42">
        <v>63000</v>
      </c>
      <c r="AL84" s="43">
        <v>63000</v>
      </c>
      <c r="AO84" s="41"/>
      <c r="AP84" s="44">
        <v>49000</v>
      </c>
      <c r="AQ84" s="42">
        <v>49000</v>
      </c>
      <c r="AR84" s="42">
        <v>42000</v>
      </c>
      <c r="AS84" s="42">
        <v>42000</v>
      </c>
      <c r="AT84" s="42">
        <v>42000</v>
      </c>
      <c r="AU84" s="42">
        <v>42000</v>
      </c>
      <c r="AV84" s="42">
        <v>42000</v>
      </c>
      <c r="AW84" s="42">
        <v>42000</v>
      </c>
      <c r="AX84" s="42">
        <v>42000</v>
      </c>
      <c r="AY84" s="42">
        <v>42000</v>
      </c>
      <c r="AZ84" s="42">
        <v>42000</v>
      </c>
      <c r="BA84" s="42">
        <v>42000</v>
      </c>
      <c r="BB84" s="42">
        <v>42000</v>
      </c>
      <c r="BC84" s="42">
        <v>42000</v>
      </c>
      <c r="BD84" s="43">
        <v>42000</v>
      </c>
      <c r="BE84" s="44">
        <v>42000</v>
      </c>
      <c r="BF84" s="42">
        <v>42000</v>
      </c>
      <c r="BG84" s="42"/>
      <c r="BH84" s="42">
        <v>42000</v>
      </c>
      <c r="BI84" s="42">
        <v>42000</v>
      </c>
      <c r="BJ84" s="42">
        <v>26000</v>
      </c>
      <c r="BK84" s="42">
        <v>42000</v>
      </c>
      <c r="BL84" s="42">
        <v>42000</v>
      </c>
      <c r="BM84" s="42">
        <v>42000</v>
      </c>
      <c r="BN84" s="42">
        <v>42000</v>
      </c>
      <c r="BO84" s="42">
        <v>42000</v>
      </c>
      <c r="BP84" s="42">
        <v>54000</v>
      </c>
      <c r="BQ84" s="42">
        <v>54000</v>
      </c>
      <c r="BR84" s="42">
        <v>54000</v>
      </c>
      <c r="BS84" s="42">
        <v>54000</v>
      </c>
      <c r="BT84" s="42">
        <v>54000</v>
      </c>
      <c r="BU84" s="42"/>
      <c r="BV84" s="42">
        <v>54000</v>
      </c>
      <c r="BW84" s="42">
        <v>54000</v>
      </c>
      <c r="BX84" s="43">
        <v>54000</v>
      </c>
      <c r="GR84" s="49"/>
      <c r="GS84" s="49"/>
      <c r="GT84" s="49"/>
      <c r="GU84" s="49"/>
      <c r="GV84" s="49"/>
      <c r="GW84" s="49"/>
      <c r="GX84" s="49"/>
      <c r="GY84" s="49"/>
      <c r="GZ84" s="49"/>
      <c r="HA84" s="49"/>
      <c r="HB84" s="49"/>
      <c r="HC84" s="49"/>
      <c r="HD84" s="49"/>
      <c r="HE84" s="49"/>
      <c r="HF84" s="49"/>
      <c r="HG84" s="49"/>
      <c r="HH84" s="49"/>
      <c r="HI84" s="49"/>
      <c r="HJ84" s="49"/>
      <c r="HK84" s="50"/>
      <c r="HL84" s="50"/>
      <c r="HM84" s="50"/>
      <c r="HN84" s="50"/>
      <c r="HO84" s="50"/>
      <c r="HP84" s="50"/>
      <c r="HQ84" s="50"/>
      <c r="HR84" s="50"/>
      <c r="HS84" s="50"/>
      <c r="HT84" s="50"/>
      <c r="HU84" s="50"/>
      <c r="HV84" s="50"/>
      <c r="HW84" s="50"/>
      <c r="HX84" s="50"/>
      <c r="HY84" s="50"/>
      <c r="HZ84" s="50"/>
      <c r="IA84" s="50"/>
      <c r="IB84" s="50"/>
      <c r="IC84" s="50"/>
      <c r="ID84" s="50"/>
      <c r="IE84" s="50"/>
      <c r="IF84" s="50"/>
      <c r="IG84" s="50"/>
      <c r="IH84" s="50"/>
      <c r="II84" s="50"/>
      <c r="IK84" s="23"/>
    </row>
    <row r="85" spans="1:245" s="12" customFormat="1" x14ac:dyDescent="0.2">
      <c r="A85" s="110" t="s">
        <v>4</v>
      </c>
      <c r="B85" s="111">
        <f>SUM(C85:ZZ85)</f>
        <v>3568700</v>
      </c>
      <c r="C85" s="56"/>
      <c r="D85" s="54"/>
      <c r="E85" s="54"/>
      <c r="F85" s="54"/>
      <c r="G85" s="54"/>
      <c r="H85" s="54">
        <v>24600</v>
      </c>
      <c r="I85" s="54">
        <v>126000</v>
      </c>
      <c r="J85" s="54">
        <f>12000+163650</f>
        <v>175650</v>
      </c>
      <c r="K85" s="54">
        <v>302100</v>
      </c>
      <c r="L85" s="54">
        <v>10950</v>
      </c>
      <c r="M85" s="54">
        <v>9150</v>
      </c>
      <c r="N85" s="54"/>
      <c r="O85" s="54">
        <v>32550</v>
      </c>
      <c r="P85" s="54">
        <v>24600</v>
      </c>
      <c r="Q85" s="54">
        <v>49800</v>
      </c>
      <c r="R85" s="54">
        <f>34800+560000</f>
        <v>594800</v>
      </c>
      <c r="S85" s="57"/>
      <c r="T85" s="56"/>
      <c r="U85" s="54"/>
      <c r="V85" s="54"/>
      <c r="W85" s="54"/>
      <c r="X85" s="54"/>
      <c r="Y85" s="54"/>
      <c r="Z85" s="54"/>
      <c r="AA85" s="54">
        <v>23250</v>
      </c>
      <c r="AB85" s="54">
        <v>8550</v>
      </c>
      <c r="AC85" s="54">
        <v>31350</v>
      </c>
      <c r="AD85" s="54">
        <v>7800</v>
      </c>
      <c r="AE85" s="54">
        <v>13500</v>
      </c>
      <c r="AF85" s="54">
        <v>23850</v>
      </c>
      <c r="AG85" s="54"/>
      <c r="AH85" s="54">
        <v>35250</v>
      </c>
      <c r="AI85" s="54">
        <v>29850</v>
      </c>
      <c r="AJ85" s="54"/>
      <c r="AK85" s="54">
        <f>109200+234000</f>
        <v>343200</v>
      </c>
      <c r="AL85" s="57"/>
      <c r="AO85" s="41"/>
      <c r="AP85" s="56"/>
      <c r="AQ85" s="54"/>
      <c r="AR85" s="54"/>
      <c r="AS85" s="54">
        <v>37050</v>
      </c>
      <c r="AT85" s="54">
        <v>40200</v>
      </c>
      <c r="AU85" s="54">
        <v>208350</v>
      </c>
      <c r="AV85" s="54">
        <v>70050</v>
      </c>
      <c r="AW85" s="54">
        <v>34350</v>
      </c>
      <c r="AX85" s="54">
        <v>21750</v>
      </c>
      <c r="AY85" s="54">
        <v>57150</v>
      </c>
      <c r="AZ85" s="54">
        <v>139800</v>
      </c>
      <c r="BA85" s="54">
        <v>10500</v>
      </c>
      <c r="BB85" s="54">
        <f>6000+94950</f>
        <v>100950</v>
      </c>
      <c r="BC85" s="54">
        <f>234000+47550+33750</f>
        <v>315300</v>
      </c>
      <c r="BD85" s="57"/>
      <c r="BE85" s="56"/>
      <c r="BF85" s="54"/>
      <c r="BG85" s="54"/>
      <c r="BH85" s="54"/>
      <c r="BI85" s="54"/>
      <c r="BJ85" s="54">
        <v>17100</v>
      </c>
      <c r="BK85" s="54">
        <v>17100</v>
      </c>
      <c r="BL85" s="54"/>
      <c r="BM85" s="54">
        <v>23250</v>
      </c>
      <c r="BN85" s="54">
        <v>3750</v>
      </c>
      <c r="BO85" s="54">
        <v>170100</v>
      </c>
      <c r="BP85" s="54">
        <v>10200</v>
      </c>
      <c r="BQ85" s="54">
        <v>8250</v>
      </c>
      <c r="BR85" s="54"/>
      <c r="BS85" s="54">
        <v>36450</v>
      </c>
      <c r="BT85" s="54">
        <v>146250</v>
      </c>
      <c r="BU85" s="54">
        <v>234000</v>
      </c>
      <c r="BV85" s="54"/>
      <c r="BW85" s="54"/>
      <c r="BX85" s="57"/>
      <c r="GR85" s="49"/>
      <c r="GS85" s="49"/>
      <c r="GT85" s="49"/>
      <c r="GU85" s="49"/>
      <c r="GV85" s="49"/>
      <c r="GW85" s="49"/>
      <c r="GX85" s="49"/>
      <c r="GY85" s="49"/>
      <c r="GZ85" s="49"/>
      <c r="HA85" s="49"/>
      <c r="HB85" s="49"/>
      <c r="HC85" s="49"/>
      <c r="HD85" s="49"/>
      <c r="HE85" s="49"/>
      <c r="HF85" s="49"/>
      <c r="HG85" s="49"/>
      <c r="HH85" s="49"/>
      <c r="HI85" s="49"/>
      <c r="HJ85" s="49"/>
      <c r="HK85" s="50"/>
      <c r="HL85" s="50"/>
      <c r="HM85" s="50"/>
      <c r="HN85" s="50"/>
      <c r="HO85" s="50"/>
      <c r="HP85" s="50"/>
      <c r="HQ85" s="50"/>
      <c r="HR85" s="50"/>
      <c r="HS85" s="50"/>
      <c r="HT85" s="50"/>
      <c r="HU85" s="50"/>
      <c r="HV85" s="50"/>
      <c r="HW85" s="50"/>
      <c r="HX85" s="50"/>
      <c r="HY85" s="50"/>
      <c r="HZ85" s="50"/>
      <c r="IA85" s="50"/>
      <c r="IB85" s="50"/>
      <c r="IC85" s="50"/>
      <c r="ID85" s="50"/>
      <c r="IE85" s="50"/>
      <c r="IF85" s="50"/>
      <c r="IG85" s="50"/>
      <c r="IH85" s="50"/>
      <c r="II85" s="50"/>
      <c r="IK85" s="23" t="s">
        <v>93</v>
      </c>
    </row>
    <row r="86" spans="1:245" s="12" customFormat="1" x14ac:dyDescent="0.2">
      <c r="A86" s="110" t="s">
        <v>6</v>
      </c>
      <c r="B86" s="112">
        <f>B85-B84</f>
        <v>-1042300</v>
      </c>
      <c r="R86" s="66" t="s">
        <v>7</v>
      </c>
      <c r="S86" s="67">
        <f>SUM(C85:S85)-SUM(C84:S84)</f>
        <v>-526800</v>
      </c>
      <c r="AK86" s="66" t="s">
        <v>27</v>
      </c>
      <c r="AL86" s="67">
        <f>SUM(T85:AL85)-SUM(T84:AL84)</f>
        <v>-737400</v>
      </c>
      <c r="AO86" s="41"/>
      <c r="BC86" s="66" t="s">
        <v>45</v>
      </c>
      <c r="BD86" s="67">
        <f>SUM(AP85:BD85)-SUM(AP84:BD84)</f>
        <v>391450</v>
      </c>
      <c r="BU86" s="66" t="s">
        <v>27</v>
      </c>
      <c r="BV86" s="67">
        <f>SUM(BE85:BX85)-SUM(BE84:BX84)</f>
        <v>-169550</v>
      </c>
      <c r="GR86" s="49"/>
      <c r="GS86" s="49"/>
      <c r="GT86" s="49"/>
      <c r="GU86" s="49"/>
      <c r="GV86" s="49"/>
      <c r="GW86" s="49"/>
      <c r="GX86" s="49"/>
      <c r="GY86" s="49"/>
      <c r="GZ86" s="49"/>
      <c r="HA86" s="49"/>
      <c r="HB86" s="49"/>
      <c r="HC86" s="49"/>
      <c r="HD86" s="49"/>
      <c r="HE86" s="49"/>
      <c r="HF86" s="49"/>
      <c r="HG86" s="49"/>
      <c r="HH86" s="49"/>
      <c r="HI86" s="49"/>
      <c r="HJ86" s="49"/>
      <c r="HK86" s="50"/>
      <c r="HL86" s="50"/>
      <c r="HM86" s="50"/>
      <c r="HN86" s="50"/>
      <c r="HO86" s="50"/>
      <c r="HP86" s="50"/>
      <c r="HQ86" s="50"/>
      <c r="HR86" s="50"/>
      <c r="HS86" s="50"/>
      <c r="HT86" s="50"/>
      <c r="HU86" s="50"/>
      <c r="HV86" s="50"/>
      <c r="HW86" s="50"/>
      <c r="HX86" s="50"/>
      <c r="HY86" s="50"/>
      <c r="HZ86" s="50"/>
      <c r="IA86" s="50"/>
      <c r="IB86" s="50"/>
      <c r="IC86" s="50"/>
      <c r="ID86" s="50"/>
      <c r="IE86" s="50"/>
      <c r="IF86" s="50"/>
      <c r="IG86" s="50"/>
      <c r="IH86" s="50"/>
      <c r="II86" s="50"/>
      <c r="IK86" s="23"/>
    </row>
    <row r="87" spans="1:245" ht="15" thickBot="1" x14ac:dyDescent="0.25"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70">
        <f>SUM(C85:S85)/SUM(C84:S84)</f>
        <v>0.71933937133724024</v>
      </c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 s="12"/>
      <c r="AJ87" s="12"/>
      <c r="AK87" s="12"/>
      <c r="AL87" s="70">
        <f>SUM(T85:AL85)/SUM(T84:AL84)</f>
        <v>0.41196172248803825</v>
      </c>
      <c r="AM87" s="12"/>
      <c r="AN87" s="12"/>
      <c r="AO87" s="41"/>
      <c r="AP87" s="12"/>
      <c r="AQ87" s="12"/>
      <c r="AR87" s="12"/>
      <c r="AS87" s="12"/>
      <c r="AT87" s="12"/>
      <c r="AU87" s="12"/>
      <c r="AV87" s="12"/>
      <c r="AW87" s="12"/>
      <c r="AX87" s="12"/>
      <c r="AY87" s="12"/>
      <c r="AZ87" s="12"/>
      <c r="BA87" s="12"/>
      <c r="BB87" s="12"/>
      <c r="BC87" s="12"/>
      <c r="BD87" s="70">
        <f>SUM(AP85:BD85)/SUM(AP84:BD84)</f>
        <v>1.6078416149068322</v>
      </c>
      <c r="BE87" s="12"/>
      <c r="BF87" s="12"/>
      <c r="BU87" s="12"/>
      <c r="BV87" s="70">
        <f>SUM(BE85:BX85)/SUM(BE84:BX84)</f>
        <v>0.79718899521531106</v>
      </c>
      <c r="GR87" s="7"/>
      <c r="GS87" s="7"/>
      <c r="GT87" s="7"/>
      <c r="GU87" s="7"/>
      <c r="GV87" s="7"/>
      <c r="GW87" s="7" t="s">
        <v>72</v>
      </c>
      <c r="GX87" s="7"/>
      <c r="GY87" s="7"/>
      <c r="GZ87" s="7"/>
      <c r="HA87" s="7"/>
      <c r="HB87" s="7"/>
      <c r="HC87" s="7"/>
      <c r="HD87" s="7"/>
      <c r="HE87" s="7"/>
      <c r="HF87" s="7"/>
      <c r="HG87" s="7"/>
      <c r="HH87" s="7"/>
      <c r="HI87" s="7"/>
      <c r="HJ87" s="7"/>
      <c r="HK87" s="8"/>
      <c r="HL87" s="8"/>
      <c r="HM87" s="8"/>
      <c r="HN87" s="8"/>
      <c r="HO87" s="8"/>
      <c r="HP87" s="8"/>
      <c r="HQ87" s="8"/>
      <c r="HR87" s="8"/>
      <c r="HS87" s="8"/>
      <c r="HT87" s="8"/>
      <c r="HU87" s="8"/>
      <c r="HV87" s="8"/>
      <c r="HW87" s="8"/>
      <c r="HX87" s="8"/>
      <c r="HY87" s="8"/>
      <c r="HZ87" s="8"/>
      <c r="IA87" s="8"/>
      <c r="IB87" s="8"/>
      <c r="IC87" s="8"/>
      <c r="ID87" s="8"/>
      <c r="IE87" s="8"/>
      <c r="IF87" s="8"/>
      <c r="IG87" s="8"/>
      <c r="IH87" s="8"/>
      <c r="II87" s="8"/>
      <c r="IK87" s="11"/>
    </row>
    <row r="88" spans="1:245" ht="15" x14ac:dyDescent="0.25">
      <c r="A88" s="75" t="s">
        <v>73</v>
      </c>
      <c r="B88" s="76">
        <f>B90/B89</f>
        <v>0.61975051975051976</v>
      </c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 s="12"/>
      <c r="AJ88" s="12"/>
      <c r="AK88" s="12"/>
      <c r="AL88" s="12"/>
      <c r="AM88" s="12"/>
      <c r="AN88" s="12"/>
      <c r="AO88" s="41"/>
      <c r="AP88" s="12"/>
      <c r="AQ88" s="12"/>
      <c r="AR88" s="12"/>
      <c r="AS88" s="12"/>
      <c r="AT88" s="12"/>
      <c r="AU88" s="12"/>
      <c r="AV88" s="12"/>
      <c r="AW88" s="12"/>
      <c r="AX88" s="12"/>
      <c r="AY88" s="12"/>
      <c r="AZ88" s="12"/>
      <c r="BA88" s="12"/>
      <c r="BB88" s="12"/>
      <c r="BC88" s="12"/>
      <c r="BD88" s="12"/>
      <c r="BE88" s="12"/>
      <c r="BF88" s="12"/>
      <c r="GR88" s="7"/>
      <c r="GS88" s="7"/>
      <c r="GT88" s="7"/>
      <c r="GU88" s="32" t="s">
        <v>74</v>
      </c>
      <c r="GV88" s="119">
        <f>GV90/GV89</f>
        <v>0.79500883392226152</v>
      </c>
      <c r="GW88" s="7"/>
      <c r="GX88" s="7"/>
      <c r="GY88" s="7"/>
      <c r="GZ88" s="7"/>
      <c r="HA88" s="7"/>
      <c r="HB88" s="7"/>
      <c r="HC88" s="7"/>
      <c r="HD88" s="7"/>
      <c r="HE88" s="7"/>
      <c r="HF88" s="7"/>
      <c r="HG88" s="7"/>
      <c r="HH88" s="7"/>
      <c r="HI88" s="7"/>
      <c r="HJ88" s="7"/>
      <c r="HK88" s="8"/>
      <c r="HL88" s="8"/>
      <c r="HM88" s="8"/>
      <c r="HN88" s="8"/>
      <c r="HO88" s="8"/>
      <c r="HP88" s="8"/>
      <c r="HQ88" s="8"/>
      <c r="HR88" s="8"/>
      <c r="HS88" s="8"/>
      <c r="HT88" s="8"/>
      <c r="HU88" s="8"/>
      <c r="HV88" s="8"/>
      <c r="HW88" s="8"/>
      <c r="HX88" s="8"/>
      <c r="HY88" s="8"/>
      <c r="HZ88" s="8"/>
      <c r="IA88" s="8"/>
      <c r="IB88" s="8"/>
      <c r="IC88" s="8"/>
      <c r="ID88" s="8"/>
      <c r="IE88" s="8"/>
      <c r="IF88" s="8"/>
      <c r="IG88" s="8"/>
      <c r="IH88" s="8"/>
      <c r="II88" s="8"/>
      <c r="IK88" s="11"/>
    </row>
    <row r="89" spans="1:245" s="12" customFormat="1" x14ac:dyDescent="0.2">
      <c r="A89" s="78" t="s">
        <v>2</v>
      </c>
      <c r="B89" s="79">
        <f>SUM(C89:FF89)</f>
        <v>2886000</v>
      </c>
      <c r="E89" s="12">
        <v>35000</v>
      </c>
      <c r="U89" s="44"/>
      <c r="V89" s="42">
        <v>35000</v>
      </c>
      <c r="W89" s="42">
        <v>35000</v>
      </c>
      <c r="X89" s="42">
        <v>25000</v>
      </c>
      <c r="Y89" s="42"/>
      <c r="Z89" s="42">
        <v>25000</v>
      </c>
      <c r="AA89" s="42">
        <v>63000</v>
      </c>
      <c r="AB89" s="42">
        <v>63000</v>
      </c>
      <c r="AC89" s="42">
        <v>63000</v>
      </c>
      <c r="AD89" s="42">
        <v>63000</v>
      </c>
      <c r="AE89" s="42"/>
      <c r="AF89" s="42">
        <v>31000</v>
      </c>
      <c r="AG89" s="42">
        <v>31000</v>
      </c>
      <c r="AH89" s="42">
        <v>31000</v>
      </c>
      <c r="AI89" s="42">
        <v>31000</v>
      </c>
      <c r="AJ89" s="43">
        <v>31000</v>
      </c>
      <c r="AN89" s="44">
        <v>31000</v>
      </c>
      <c r="AO89" s="45">
        <v>31000</v>
      </c>
      <c r="AP89" s="42">
        <v>31000</v>
      </c>
      <c r="AQ89" s="42">
        <v>31000</v>
      </c>
      <c r="AR89" s="42">
        <v>31000</v>
      </c>
      <c r="AS89" s="42">
        <v>31000</v>
      </c>
      <c r="AT89" s="42">
        <v>31000</v>
      </c>
      <c r="AU89" s="42">
        <v>31000</v>
      </c>
      <c r="AV89" s="42">
        <v>31000</v>
      </c>
      <c r="AW89" s="42">
        <v>31000</v>
      </c>
      <c r="AX89" s="42">
        <v>31000</v>
      </c>
      <c r="AY89" s="42">
        <v>31000</v>
      </c>
      <c r="AZ89" s="42">
        <v>31000</v>
      </c>
      <c r="BA89" s="42">
        <v>31000</v>
      </c>
      <c r="BB89" s="42">
        <v>31000</v>
      </c>
      <c r="BC89" s="43">
        <v>31000</v>
      </c>
      <c r="BF89" s="44">
        <v>31000</v>
      </c>
      <c r="BG89" s="42">
        <v>31000</v>
      </c>
      <c r="BH89" s="42">
        <v>31000</v>
      </c>
      <c r="BI89" s="42">
        <v>31000</v>
      </c>
      <c r="BJ89" s="42">
        <v>26000</v>
      </c>
      <c r="BK89" s="42">
        <v>26000</v>
      </c>
      <c r="BL89" s="42">
        <v>26000</v>
      </c>
      <c r="BM89" s="42">
        <v>26000</v>
      </c>
      <c r="BN89" s="42">
        <v>26000</v>
      </c>
      <c r="BO89" s="42">
        <v>26000</v>
      </c>
      <c r="BP89" s="42">
        <v>54000</v>
      </c>
      <c r="BQ89" s="42">
        <v>54000</v>
      </c>
      <c r="BR89" s="42">
        <v>54000</v>
      </c>
      <c r="BS89" s="42">
        <v>54000</v>
      </c>
      <c r="BT89" s="42">
        <v>54000</v>
      </c>
      <c r="BU89" s="42"/>
      <c r="BV89" s="43">
        <v>54000</v>
      </c>
      <c r="DX89" s="44">
        <v>54000</v>
      </c>
      <c r="DY89" s="42">
        <v>54000</v>
      </c>
      <c r="DZ89" s="42">
        <v>54000</v>
      </c>
      <c r="EA89" s="42">
        <v>46000</v>
      </c>
      <c r="EB89" s="42">
        <v>35000</v>
      </c>
      <c r="EC89" s="42">
        <v>32000</v>
      </c>
      <c r="ED89" s="42">
        <v>36000</v>
      </c>
      <c r="EE89" s="42">
        <v>36000</v>
      </c>
      <c r="EF89" s="42">
        <v>45000</v>
      </c>
      <c r="EG89" s="42">
        <v>45000</v>
      </c>
      <c r="EH89" s="42">
        <v>45000</v>
      </c>
      <c r="EI89" s="42">
        <v>49000</v>
      </c>
      <c r="EJ89" s="42">
        <v>48000</v>
      </c>
      <c r="EK89" s="42">
        <v>43000</v>
      </c>
      <c r="EL89" s="42">
        <v>43000</v>
      </c>
      <c r="EM89" s="42">
        <v>43000</v>
      </c>
      <c r="EN89" s="42"/>
      <c r="EO89" s="43">
        <v>43000</v>
      </c>
      <c r="EQ89" s="44"/>
      <c r="ER89" s="42">
        <v>43000</v>
      </c>
      <c r="ES89" s="42">
        <v>43000</v>
      </c>
      <c r="ET89" s="42"/>
      <c r="EU89" s="42"/>
      <c r="EV89" s="42">
        <v>43000</v>
      </c>
      <c r="EW89" s="42">
        <v>43000</v>
      </c>
      <c r="EX89" s="42">
        <v>43000</v>
      </c>
      <c r="EY89" s="42">
        <v>43000</v>
      </c>
      <c r="EZ89" s="42">
        <v>43000</v>
      </c>
      <c r="FA89" s="42"/>
      <c r="FB89" s="42">
        <v>43000</v>
      </c>
      <c r="FC89" s="42">
        <v>43000</v>
      </c>
      <c r="FD89" s="42">
        <v>43000</v>
      </c>
      <c r="FE89" s="42">
        <v>43000</v>
      </c>
      <c r="FF89" s="42"/>
      <c r="FG89" s="43">
        <v>43000</v>
      </c>
      <c r="GR89" s="49"/>
      <c r="GS89" s="49"/>
      <c r="GT89" s="49"/>
      <c r="GU89" s="120" t="s">
        <v>2</v>
      </c>
      <c r="GV89" s="121">
        <f>SUM(GW89:ZZ89)</f>
        <v>2264000</v>
      </c>
      <c r="GW89" s="122"/>
      <c r="GX89" s="46">
        <v>71000</v>
      </c>
      <c r="GY89" s="47">
        <v>71000</v>
      </c>
      <c r="GZ89" s="47">
        <v>71000</v>
      </c>
      <c r="HA89" s="47">
        <v>71000</v>
      </c>
      <c r="HB89" s="47">
        <v>66000</v>
      </c>
      <c r="HC89" s="47">
        <v>66000</v>
      </c>
      <c r="HD89" s="47">
        <v>66000</v>
      </c>
      <c r="HE89" s="47">
        <v>66000</v>
      </c>
      <c r="HF89" s="47">
        <v>66000</v>
      </c>
      <c r="HG89" s="47">
        <v>66000</v>
      </c>
      <c r="HH89" s="47">
        <v>66000</v>
      </c>
      <c r="HI89" s="47">
        <v>66000</v>
      </c>
      <c r="HJ89" s="48">
        <v>66000</v>
      </c>
      <c r="HK89" s="50"/>
      <c r="HL89" s="50"/>
      <c r="HM89" s="51">
        <v>66000</v>
      </c>
      <c r="HN89" s="52">
        <v>66000</v>
      </c>
      <c r="HO89" s="52">
        <v>66000</v>
      </c>
      <c r="HP89" s="52">
        <v>66000</v>
      </c>
      <c r="HQ89" s="52">
        <v>66000</v>
      </c>
      <c r="HR89" s="52">
        <v>66000</v>
      </c>
      <c r="HS89" s="52">
        <v>66000</v>
      </c>
      <c r="HT89" s="52">
        <v>66000</v>
      </c>
      <c r="HU89" s="52">
        <v>66000</v>
      </c>
      <c r="HV89" s="52">
        <v>66000</v>
      </c>
      <c r="HW89" s="52">
        <v>66000</v>
      </c>
      <c r="HX89" s="52">
        <v>66000</v>
      </c>
      <c r="HY89" s="52">
        <v>66000</v>
      </c>
      <c r="HZ89" s="52">
        <v>66000</v>
      </c>
      <c r="IA89" s="52">
        <v>66000</v>
      </c>
      <c r="IB89" s="53">
        <v>66000</v>
      </c>
      <c r="IC89" s="50"/>
      <c r="ID89" s="50"/>
      <c r="IE89" s="50"/>
      <c r="IF89" s="73">
        <v>66000</v>
      </c>
      <c r="IG89" s="50">
        <v>66000</v>
      </c>
      <c r="IH89" s="50">
        <v>66000</v>
      </c>
      <c r="II89" s="50">
        <v>66000</v>
      </c>
      <c r="IJ89" s="12">
        <v>66000</v>
      </c>
      <c r="IK89" s="23"/>
    </row>
    <row r="90" spans="1:245" s="12" customFormat="1" ht="15" thickBot="1" x14ac:dyDescent="0.25">
      <c r="A90" s="78" t="s">
        <v>4</v>
      </c>
      <c r="B90" s="79">
        <f>SUM(C90:FF90)</f>
        <v>1788600</v>
      </c>
      <c r="U90" s="56">
        <f>7950+1950</f>
        <v>9900</v>
      </c>
      <c r="V90" s="54">
        <f>3300+3750</f>
        <v>7050</v>
      </c>
      <c r="W90" s="54">
        <v>3450</v>
      </c>
      <c r="X90" s="54">
        <f>3150+17100</f>
        <v>20250</v>
      </c>
      <c r="Y90" s="54"/>
      <c r="Z90" s="54">
        <v>2100</v>
      </c>
      <c r="AA90" s="54">
        <v>8550</v>
      </c>
      <c r="AB90" s="54">
        <v>5250</v>
      </c>
      <c r="AC90" s="54">
        <v>7950</v>
      </c>
      <c r="AD90" s="54">
        <f>9150+27450</f>
        <v>36600</v>
      </c>
      <c r="AE90" s="54"/>
      <c r="AF90" s="54">
        <v>4500</v>
      </c>
      <c r="AG90" s="54">
        <v>1500</v>
      </c>
      <c r="AH90" s="54">
        <f>1950+85200</f>
        <v>87150</v>
      </c>
      <c r="AI90" s="54">
        <f>10350+149000</f>
        <v>159350</v>
      </c>
      <c r="AJ90" s="57"/>
      <c r="AN90" s="56"/>
      <c r="AO90" s="58">
        <v>1050</v>
      </c>
      <c r="AP90" s="54">
        <f>3150+3600</f>
        <v>6750</v>
      </c>
      <c r="AQ90" s="54"/>
      <c r="AR90" s="54">
        <v>1950</v>
      </c>
      <c r="AS90" s="54">
        <v>2550</v>
      </c>
      <c r="AT90" s="54">
        <v>7050</v>
      </c>
      <c r="AU90" s="54">
        <v>2550</v>
      </c>
      <c r="AV90" s="54">
        <v>5100</v>
      </c>
      <c r="AW90" s="54">
        <v>5250</v>
      </c>
      <c r="AX90" s="54">
        <v>1650</v>
      </c>
      <c r="AY90" s="54"/>
      <c r="AZ90" s="54">
        <v>2550</v>
      </c>
      <c r="BA90" s="54">
        <f>5700+46350</f>
        <v>52050</v>
      </c>
      <c r="BB90" s="54">
        <f>172000+5100+15900</f>
        <v>193000</v>
      </c>
      <c r="BC90" s="57"/>
      <c r="BF90" s="56">
        <v>6450</v>
      </c>
      <c r="BG90" s="54">
        <v>18150</v>
      </c>
      <c r="BH90" s="54">
        <f>3900+3150</f>
        <v>7050</v>
      </c>
      <c r="BI90" s="54"/>
      <c r="BJ90" s="54">
        <f>50000+6300</f>
        <v>56300</v>
      </c>
      <c r="BK90" s="54"/>
      <c r="BL90" s="54">
        <v>1950</v>
      </c>
      <c r="BM90" s="54">
        <v>42300</v>
      </c>
      <c r="BN90" s="54">
        <f>6900+22500</f>
        <v>29400</v>
      </c>
      <c r="BO90" s="54">
        <v>5700</v>
      </c>
      <c r="BP90" s="54">
        <v>18150</v>
      </c>
      <c r="BQ90" s="54">
        <f>5100+52050</f>
        <v>57150</v>
      </c>
      <c r="BR90" s="54">
        <v>29550</v>
      </c>
      <c r="BS90" s="54">
        <v>27600</v>
      </c>
      <c r="BT90" s="54">
        <f>11250+172000</f>
        <v>183250</v>
      </c>
      <c r="BU90" s="54"/>
      <c r="BV90" s="57"/>
      <c r="DX90" s="56"/>
      <c r="DY90" s="54"/>
      <c r="DZ90" s="54">
        <v>9450</v>
      </c>
      <c r="EA90" s="54">
        <v>1500</v>
      </c>
      <c r="EB90" s="54">
        <f>1350+6750</f>
        <v>8100</v>
      </c>
      <c r="EC90" s="54">
        <v>24450</v>
      </c>
      <c r="ED90" s="54">
        <f>8250+54750</f>
        <v>63000</v>
      </c>
      <c r="EE90" s="54"/>
      <c r="EF90" s="54"/>
      <c r="EG90" s="54">
        <v>3000</v>
      </c>
      <c r="EH90" s="54">
        <v>7050</v>
      </c>
      <c r="EI90" s="54"/>
      <c r="EJ90" s="54">
        <v>3900</v>
      </c>
      <c r="EK90" s="54">
        <v>8550</v>
      </c>
      <c r="EL90" s="54">
        <f>7200+30300</f>
        <v>37500</v>
      </c>
      <c r="EM90" s="54">
        <v>138000</v>
      </c>
      <c r="EN90" s="54"/>
      <c r="EO90" s="57"/>
      <c r="EQ90" s="56">
        <v>6450</v>
      </c>
      <c r="ER90" s="54">
        <f>4650+5250</f>
        <v>9900</v>
      </c>
      <c r="ES90" s="54">
        <v>5550</v>
      </c>
      <c r="ET90" s="54">
        <v>2100</v>
      </c>
      <c r="EU90" s="54"/>
      <c r="EV90" s="54">
        <v>4350</v>
      </c>
      <c r="EW90" s="54">
        <f>12000+40800</f>
        <v>52800</v>
      </c>
      <c r="EX90" s="54">
        <v>45150</v>
      </c>
      <c r="EY90" s="54">
        <v>9300</v>
      </c>
      <c r="EZ90" s="54">
        <v>8100</v>
      </c>
      <c r="FA90" s="54">
        <v>9150</v>
      </c>
      <c r="FB90" s="54">
        <v>3300</v>
      </c>
      <c r="FC90" s="54">
        <f>2400+5250</f>
        <v>7650</v>
      </c>
      <c r="FD90" s="54">
        <f>16800+47400</f>
        <v>64200</v>
      </c>
      <c r="FE90" s="54">
        <v>138000</v>
      </c>
      <c r="FF90" s="54"/>
      <c r="FG90" s="57"/>
      <c r="GR90" s="49"/>
      <c r="GS90" s="49"/>
      <c r="GT90" s="49"/>
      <c r="GU90" s="120" t="s">
        <v>4</v>
      </c>
      <c r="GV90" s="121">
        <f>SUM(GW90:ZZ90)</f>
        <v>1799900</v>
      </c>
      <c r="GW90" s="49">
        <v>900000</v>
      </c>
      <c r="GX90" s="59"/>
      <c r="GY90" s="60">
        <v>4800</v>
      </c>
      <c r="GZ90" s="60">
        <v>2700</v>
      </c>
      <c r="HA90" s="60">
        <v>36150</v>
      </c>
      <c r="HB90" s="60">
        <v>8700</v>
      </c>
      <c r="HC90" s="60">
        <v>8250</v>
      </c>
      <c r="HD90" s="60">
        <v>2700</v>
      </c>
      <c r="HE90" s="60">
        <v>12900</v>
      </c>
      <c r="HF90" s="60">
        <v>90300</v>
      </c>
      <c r="HG90" s="60"/>
      <c r="HH90" s="60">
        <v>17100</v>
      </c>
      <c r="HI90" s="49">
        <v>196000</v>
      </c>
      <c r="HJ90" s="61"/>
      <c r="HK90" s="50"/>
      <c r="HL90" s="50"/>
      <c r="HM90" s="74">
        <v>1050</v>
      </c>
      <c r="HN90" s="64">
        <v>11850</v>
      </c>
      <c r="HO90" s="64">
        <v>1050</v>
      </c>
      <c r="HP90" s="64">
        <v>9000</v>
      </c>
      <c r="HQ90" s="64">
        <v>69000</v>
      </c>
      <c r="HR90" s="64">
        <f>46200+30600</f>
        <v>76800</v>
      </c>
      <c r="HS90" s="64"/>
      <c r="HT90" s="64">
        <v>1350</v>
      </c>
      <c r="HU90" s="64"/>
      <c r="HV90" s="64"/>
      <c r="HW90" s="64">
        <v>1350</v>
      </c>
      <c r="HX90" s="64">
        <v>8700</v>
      </c>
      <c r="HY90" s="64"/>
      <c r="HZ90" s="64"/>
      <c r="IA90" s="64"/>
      <c r="IB90" s="65">
        <v>196000</v>
      </c>
      <c r="IC90" s="50"/>
      <c r="ID90" s="50"/>
      <c r="IE90" s="50"/>
      <c r="IF90" s="73">
        <v>2850</v>
      </c>
      <c r="IG90" s="50">
        <v>1050</v>
      </c>
      <c r="IH90" s="50">
        <v>1950</v>
      </c>
      <c r="II90" s="50">
        <v>54750</v>
      </c>
      <c r="IJ90" s="12">
        <v>83550</v>
      </c>
      <c r="IK90" s="23"/>
    </row>
    <row r="91" spans="1:245" s="12" customFormat="1" ht="15" x14ac:dyDescent="0.25">
      <c r="A91" s="78" t="s">
        <v>6</v>
      </c>
      <c r="B91" s="86">
        <f>B90-B89</f>
        <v>-1097400</v>
      </c>
      <c r="AI91" s="66" t="s">
        <v>75</v>
      </c>
      <c r="AJ91" s="67">
        <f>SUM(U90:AJ90)-SUM(U89:AJ89)</f>
        <v>-173400</v>
      </c>
      <c r="BB91" s="66" t="s">
        <v>76</v>
      </c>
      <c r="BC91" s="67">
        <f>SUM(AN90:BC90)-SUM(AN89:BC89)</f>
        <v>-214500</v>
      </c>
      <c r="BT91" s="66" t="s">
        <v>41</v>
      </c>
      <c r="BU91" s="67">
        <f>SUM(BF90:BV90)-SUM(BF89:BV89)</f>
        <v>-121000</v>
      </c>
      <c r="EM91" s="66" t="s">
        <v>15</v>
      </c>
      <c r="EN91" s="67">
        <f>SUM(DX90:EO90)-SUM(DX89:EO89)</f>
        <v>-446500</v>
      </c>
      <c r="FE91" s="66" t="s">
        <v>15</v>
      </c>
      <c r="FF91" s="67">
        <f>SUM(EQ90:FG90)-SUM(EQ89:FG89)</f>
        <v>-150000</v>
      </c>
      <c r="GR91" s="49"/>
      <c r="GS91" s="49"/>
      <c r="GT91" s="49"/>
      <c r="GU91" s="123" t="s">
        <v>6</v>
      </c>
      <c r="GV91" s="124">
        <f>GV90-GV89</f>
        <v>-464100</v>
      </c>
      <c r="GW91" s="49"/>
      <c r="GX91" s="49"/>
      <c r="GY91" s="49"/>
      <c r="GZ91" s="49"/>
      <c r="HA91" s="49"/>
      <c r="HB91" s="49"/>
      <c r="HC91" s="49"/>
      <c r="HD91" s="49"/>
      <c r="HE91" s="49"/>
      <c r="HF91" s="49"/>
      <c r="HG91" s="49"/>
      <c r="HH91" s="49"/>
      <c r="HI91" s="68" t="s">
        <v>77</v>
      </c>
      <c r="HJ91" s="33">
        <f>SUM(GX90:HJ90)-SUM(GX89:HJ89)</f>
        <v>-498400</v>
      </c>
      <c r="HK91" s="50"/>
      <c r="HL91" s="50"/>
      <c r="HM91" s="50"/>
      <c r="HN91" s="50"/>
      <c r="HO91" s="50"/>
      <c r="HP91" s="50"/>
      <c r="HQ91" s="50"/>
      <c r="HR91" s="50"/>
      <c r="HS91" s="50"/>
      <c r="HT91" s="50"/>
      <c r="HU91" s="50"/>
      <c r="HV91" s="50"/>
      <c r="HW91" s="50"/>
      <c r="HX91" s="50"/>
      <c r="HY91" s="50"/>
      <c r="HZ91" s="50"/>
      <c r="IA91" s="50"/>
      <c r="IB91" s="69" t="s">
        <v>78</v>
      </c>
      <c r="IC91" s="35">
        <f>SUM(HM90:IB90)-SUM(HM89:IB89)</f>
        <v>-679850</v>
      </c>
      <c r="ID91" s="50"/>
      <c r="IE91" s="50"/>
      <c r="IF91" s="50"/>
      <c r="IG91" s="50"/>
      <c r="IH91" s="50"/>
      <c r="II91" s="50"/>
      <c r="IK91" s="23"/>
    </row>
    <row r="92" spans="1:245" ht="15" x14ac:dyDescent="0.25"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 s="12"/>
      <c r="AJ92" s="70">
        <f>SUM(U90:AJ90)/SUM(U89:AJ89)</f>
        <v>0.67096774193548392</v>
      </c>
      <c r="AK92" s="12"/>
      <c r="AL92" s="12"/>
      <c r="AM92" s="12"/>
      <c r="AN92" s="12"/>
      <c r="AO92" s="12"/>
      <c r="AP92" s="12"/>
      <c r="AQ92" s="12"/>
      <c r="AR92" s="12"/>
      <c r="AS92" s="12"/>
      <c r="AT92" s="12"/>
      <c r="AU92" s="12"/>
      <c r="AV92" s="12"/>
      <c r="AW92" s="12"/>
      <c r="AX92" s="12"/>
      <c r="AY92" s="12"/>
      <c r="AZ92" s="12"/>
      <c r="BA92" s="12"/>
      <c r="BB92" s="12"/>
      <c r="BC92" s="70">
        <f>SUM(AN90:BC90)/SUM(AN89:BC89)</f>
        <v>0.56754032258064513</v>
      </c>
      <c r="BD92" s="12"/>
      <c r="BE92" s="12"/>
      <c r="BF92" s="12"/>
      <c r="BT92" s="12"/>
      <c r="BU92" s="70">
        <f>SUM(BF90:BV90)/SUM(BF89:BV89)</f>
        <v>0.79966887417218546</v>
      </c>
      <c r="EM92" s="12"/>
      <c r="EN92" s="70">
        <f>SUM(DX90:EO90)/SUM(DX89:EO89)</f>
        <v>0.40545938748335553</v>
      </c>
      <c r="FE92" s="12"/>
      <c r="FF92" s="70">
        <f>SUM(EQ90:FG90)/SUM(EQ89:FG89)</f>
        <v>0.70930232558139539</v>
      </c>
      <c r="GR92" s="7"/>
      <c r="GS92" s="7"/>
      <c r="GT92" s="7"/>
      <c r="GU92" s="7"/>
      <c r="GV92" s="7"/>
      <c r="GW92" s="7"/>
      <c r="GX92" s="7"/>
      <c r="GY92" s="7"/>
      <c r="GZ92" s="7"/>
      <c r="HA92" s="7"/>
      <c r="HB92" s="7"/>
      <c r="HC92" s="7"/>
      <c r="HD92" s="7"/>
      <c r="HE92" s="7"/>
      <c r="HF92" s="7"/>
      <c r="HG92" s="7"/>
      <c r="HH92" s="7"/>
      <c r="HI92" s="37"/>
      <c r="HJ92" s="38">
        <f>SUM(GX90:HJ90)/SUM(GX89:HJ89)</f>
        <v>0.43234624145785877</v>
      </c>
      <c r="HK92" s="8"/>
      <c r="HL92" s="8"/>
      <c r="HM92" s="8"/>
      <c r="HN92" s="8"/>
      <c r="HO92" s="8"/>
      <c r="HP92" s="8"/>
      <c r="HQ92" s="8"/>
      <c r="HR92" s="8"/>
      <c r="HS92" s="8"/>
      <c r="HT92" s="8"/>
      <c r="HU92" s="8"/>
      <c r="HV92" s="8"/>
      <c r="HW92" s="8"/>
      <c r="HX92" s="8"/>
      <c r="HY92" s="8"/>
      <c r="HZ92" s="8"/>
      <c r="IA92" s="8"/>
      <c r="IB92" s="125"/>
      <c r="IC92" s="126">
        <f>SUM(HM90:IB90)/SUM(HM89:IB89)</f>
        <v>0.35620265151515151</v>
      </c>
      <c r="ID92" s="8"/>
      <c r="IE92" s="8"/>
      <c r="IF92" s="8"/>
      <c r="IG92" s="8"/>
      <c r="IH92" s="8"/>
      <c r="II92" s="8"/>
      <c r="IK92" s="11"/>
    </row>
    <row r="93" spans="1:245" ht="15" x14ac:dyDescent="0.25">
      <c r="A93" s="9" t="s">
        <v>79</v>
      </c>
      <c r="B93" s="10">
        <f>B95/B94</f>
        <v>0.97439772266587488</v>
      </c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 s="12"/>
      <c r="AJ93" s="12"/>
      <c r="AK93" s="12"/>
      <c r="AL93" s="12"/>
      <c r="AM93" s="12"/>
      <c r="AN93" s="12"/>
      <c r="AO93" s="12"/>
      <c r="AP93" s="12"/>
      <c r="AQ93" s="12"/>
      <c r="AR93" s="12"/>
      <c r="AS93" s="12"/>
      <c r="AT93" s="12"/>
      <c r="AU93" s="12"/>
      <c r="AV93" s="12"/>
      <c r="AW93" s="12"/>
      <c r="AX93" s="12"/>
      <c r="AY93" s="12"/>
      <c r="AZ93" s="12"/>
      <c r="BA93" s="12"/>
      <c r="BB93" s="12"/>
      <c r="BC93" s="12"/>
      <c r="BD93" s="12"/>
      <c r="BE93" s="12"/>
      <c r="BF93" s="12"/>
      <c r="GZ93" s="127"/>
      <c r="HA93" s="127"/>
      <c r="HB93" s="127"/>
      <c r="HC93" s="127"/>
      <c r="HD93" s="127"/>
      <c r="HE93" s="127"/>
      <c r="HF93" s="127"/>
      <c r="HG93" s="127"/>
      <c r="HH93" s="127"/>
      <c r="HI93" s="127"/>
      <c r="HJ93" s="127"/>
      <c r="HK93" s="127"/>
      <c r="HL93" s="127"/>
      <c r="HM93" s="8"/>
      <c r="HN93" s="8"/>
      <c r="HO93" s="8"/>
      <c r="HP93" s="8"/>
      <c r="HQ93" s="8"/>
      <c r="HR93" s="8"/>
      <c r="HS93" s="8"/>
      <c r="HT93" s="8"/>
      <c r="HU93" s="8"/>
      <c r="HV93" s="8"/>
      <c r="HW93" s="8"/>
      <c r="HX93" s="8"/>
      <c r="HY93" s="8"/>
      <c r="HZ93" s="8"/>
      <c r="IA93" s="8"/>
      <c r="IB93" s="39"/>
      <c r="IC93" s="128"/>
      <c r="ID93" s="8"/>
      <c r="IE93" s="8"/>
      <c r="IF93" s="8"/>
      <c r="IG93" s="8"/>
      <c r="IH93" s="8"/>
      <c r="II93" s="8"/>
    </row>
    <row r="94" spans="1:245" s="12" customFormat="1" x14ac:dyDescent="0.2">
      <c r="A94" s="12" t="s">
        <v>2</v>
      </c>
      <c r="B94" s="13">
        <f>SUM(C94:ZZ94)</f>
        <v>129994100</v>
      </c>
      <c r="C94" s="12">
        <f t="shared" ref="C94:AH94" si="0">C89+C84+C79+C74+C69+C64+C59+C54+C49+C44+C39+C34+C29+C24+C19+C14+C9+C4</f>
        <v>569000</v>
      </c>
      <c r="D94" s="12">
        <f t="shared" si="0"/>
        <v>600000</v>
      </c>
      <c r="E94" s="12">
        <f t="shared" si="0"/>
        <v>657000</v>
      </c>
      <c r="F94" s="12">
        <f t="shared" si="0"/>
        <v>643000</v>
      </c>
      <c r="G94" s="12">
        <f t="shared" si="0"/>
        <v>619000</v>
      </c>
      <c r="H94" s="12">
        <f t="shared" si="0"/>
        <v>480000</v>
      </c>
      <c r="I94" s="12">
        <f t="shared" si="0"/>
        <v>486000</v>
      </c>
      <c r="J94" s="12">
        <f t="shared" si="0"/>
        <v>420000</v>
      </c>
      <c r="K94" s="12">
        <f t="shared" si="0"/>
        <v>519000</v>
      </c>
      <c r="L94" s="12">
        <f t="shared" si="0"/>
        <v>427000</v>
      </c>
      <c r="M94" s="12">
        <f t="shared" si="0"/>
        <v>465000</v>
      </c>
      <c r="N94" s="12">
        <f t="shared" si="0"/>
        <v>595000</v>
      </c>
      <c r="O94" s="12">
        <f t="shared" si="0"/>
        <v>575000</v>
      </c>
      <c r="P94" s="12">
        <f t="shared" si="0"/>
        <v>352000</v>
      </c>
      <c r="Q94" s="12">
        <f t="shared" si="0"/>
        <v>401000</v>
      </c>
      <c r="R94" s="12">
        <f t="shared" si="0"/>
        <v>401000</v>
      </c>
      <c r="S94" s="12">
        <f t="shared" si="0"/>
        <v>399000</v>
      </c>
      <c r="T94" s="12">
        <f t="shared" si="0"/>
        <v>701000</v>
      </c>
      <c r="U94" s="12">
        <f t="shared" si="0"/>
        <v>560000</v>
      </c>
      <c r="V94" s="12">
        <f t="shared" si="0"/>
        <v>565000</v>
      </c>
      <c r="W94" s="12">
        <f t="shared" si="0"/>
        <v>558000</v>
      </c>
      <c r="X94" s="12">
        <f t="shared" si="0"/>
        <v>487000</v>
      </c>
      <c r="Y94" s="12">
        <f t="shared" si="0"/>
        <v>363000</v>
      </c>
      <c r="Z94" s="12">
        <f t="shared" si="0"/>
        <v>520000</v>
      </c>
      <c r="AA94" s="12">
        <f t="shared" si="0"/>
        <v>620000</v>
      </c>
      <c r="AB94" s="12">
        <f t="shared" si="0"/>
        <v>620000</v>
      </c>
      <c r="AC94" s="12">
        <f t="shared" si="0"/>
        <v>620000</v>
      </c>
      <c r="AD94" s="12">
        <f t="shared" si="0"/>
        <v>620000</v>
      </c>
      <c r="AE94" s="12">
        <f t="shared" si="0"/>
        <v>614000</v>
      </c>
      <c r="AF94" s="12">
        <f t="shared" si="0"/>
        <v>568000</v>
      </c>
      <c r="AG94" s="12">
        <f t="shared" si="0"/>
        <v>446000</v>
      </c>
      <c r="AH94" s="12">
        <f t="shared" si="0"/>
        <v>458000</v>
      </c>
      <c r="AI94" s="12">
        <f t="shared" ref="AI94:BN94" si="1">AI89+AI84+AI79+AI74+AI69+AI64+AI59+AI54+AI49+AI44+AI39+AI34+AI29+AI24+AI19+AI14+AI9+AI4</f>
        <v>566000</v>
      </c>
      <c r="AJ94" s="12">
        <f t="shared" si="1"/>
        <v>623000</v>
      </c>
      <c r="AK94" s="12">
        <f t="shared" si="1"/>
        <v>567000</v>
      </c>
      <c r="AL94" s="12">
        <f t="shared" si="1"/>
        <v>567000</v>
      </c>
      <c r="AM94" s="12">
        <f t="shared" si="1"/>
        <v>500000</v>
      </c>
      <c r="AN94" s="12">
        <f t="shared" si="1"/>
        <v>879400</v>
      </c>
      <c r="AO94" s="12">
        <f t="shared" si="1"/>
        <v>1024300</v>
      </c>
      <c r="AP94" s="12">
        <f t="shared" si="1"/>
        <v>911950</v>
      </c>
      <c r="AQ94" s="12">
        <f t="shared" si="1"/>
        <v>750200</v>
      </c>
      <c r="AR94" s="12">
        <f t="shared" si="1"/>
        <v>576000</v>
      </c>
      <c r="AS94" s="12">
        <f t="shared" si="1"/>
        <v>576000</v>
      </c>
      <c r="AT94" s="12">
        <f t="shared" si="1"/>
        <v>576000</v>
      </c>
      <c r="AU94" s="12">
        <f t="shared" si="1"/>
        <v>460000</v>
      </c>
      <c r="AV94" s="12">
        <f t="shared" si="1"/>
        <v>529000</v>
      </c>
      <c r="AW94" s="12">
        <f t="shared" si="1"/>
        <v>613000</v>
      </c>
      <c r="AX94" s="12">
        <f t="shared" si="1"/>
        <v>613000</v>
      </c>
      <c r="AY94" s="12">
        <f t="shared" si="1"/>
        <v>1019000</v>
      </c>
      <c r="AZ94" s="12">
        <f t="shared" si="1"/>
        <v>1050000</v>
      </c>
      <c r="BA94" s="12">
        <f t="shared" si="1"/>
        <v>1156050</v>
      </c>
      <c r="BB94" s="12">
        <f t="shared" si="1"/>
        <v>1329850</v>
      </c>
      <c r="BC94" s="12">
        <f t="shared" si="1"/>
        <v>1017600</v>
      </c>
      <c r="BD94" s="12">
        <f t="shared" si="1"/>
        <v>773600</v>
      </c>
      <c r="BE94" s="12">
        <f t="shared" si="1"/>
        <v>725850</v>
      </c>
      <c r="BF94" s="12">
        <f t="shared" si="1"/>
        <v>656500</v>
      </c>
      <c r="BG94" s="12">
        <f t="shared" si="1"/>
        <v>568700</v>
      </c>
      <c r="BH94" s="12">
        <f t="shared" si="1"/>
        <v>575550</v>
      </c>
      <c r="BI94" s="12">
        <f t="shared" si="1"/>
        <v>436150</v>
      </c>
      <c r="BJ94" s="12">
        <f t="shared" si="1"/>
        <v>419850</v>
      </c>
      <c r="BK94" s="12">
        <f t="shared" si="1"/>
        <v>573200</v>
      </c>
      <c r="BL94" s="12">
        <f t="shared" si="1"/>
        <v>634800</v>
      </c>
      <c r="BM94" s="12">
        <f t="shared" si="1"/>
        <v>436750</v>
      </c>
      <c r="BN94" s="12">
        <f t="shared" si="1"/>
        <v>403050</v>
      </c>
      <c r="BO94" s="12">
        <f t="shared" ref="BO94:CT94" si="2">BO89+BO84+BO79+BO74+BO69+BO64+BO59+BO54+BO49+BO44+BO39+BO34+BO29+BO24+BO19+BO14+BO9+BO4</f>
        <v>686450</v>
      </c>
      <c r="BP94" s="12">
        <f t="shared" si="2"/>
        <v>649400</v>
      </c>
      <c r="BQ94" s="12">
        <f t="shared" si="2"/>
        <v>553300</v>
      </c>
      <c r="BR94" s="12">
        <f t="shared" si="2"/>
        <v>445550</v>
      </c>
      <c r="BS94" s="12">
        <f t="shared" si="2"/>
        <v>416450</v>
      </c>
      <c r="BT94" s="12">
        <f t="shared" si="2"/>
        <v>368950</v>
      </c>
      <c r="BU94" s="12">
        <f t="shared" si="2"/>
        <v>445250</v>
      </c>
      <c r="BV94" s="12">
        <f t="shared" si="2"/>
        <v>580500</v>
      </c>
      <c r="BW94" s="12">
        <f t="shared" si="2"/>
        <v>494800</v>
      </c>
      <c r="BX94" s="12">
        <f t="shared" si="2"/>
        <v>511200</v>
      </c>
      <c r="BY94" s="12">
        <f t="shared" si="2"/>
        <v>479100</v>
      </c>
      <c r="BZ94" s="12">
        <f t="shared" si="2"/>
        <v>358050</v>
      </c>
      <c r="CA94" s="12">
        <f t="shared" si="2"/>
        <v>392550</v>
      </c>
      <c r="CB94" s="12">
        <f t="shared" si="2"/>
        <v>239700</v>
      </c>
      <c r="CC94" s="12">
        <f t="shared" si="2"/>
        <v>412150</v>
      </c>
      <c r="CD94" s="12">
        <f t="shared" si="2"/>
        <v>528650</v>
      </c>
      <c r="CE94" s="12">
        <f t="shared" si="2"/>
        <v>293900</v>
      </c>
      <c r="CF94" s="12">
        <f t="shared" si="2"/>
        <v>451700</v>
      </c>
      <c r="CG94" s="12">
        <f t="shared" si="2"/>
        <v>600550</v>
      </c>
      <c r="CH94" s="12">
        <f t="shared" si="2"/>
        <v>493250</v>
      </c>
      <c r="CI94" s="12">
        <f t="shared" si="2"/>
        <v>496100</v>
      </c>
      <c r="CJ94" s="12">
        <f t="shared" si="2"/>
        <v>420700</v>
      </c>
      <c r="CK94" s="12">
        <f t="shared" si="2"/>
        <v>392000</v>
      </c>
      <c r="CL94" s="12">
        <f t="shared" si="2"/>
        <v>335700</v>
      </c>
      <c r="CM94" s="12">
        <f t="shared" si="2"/>
        <v>622800</v>
      </c>
      <c r="CN94" s="12">
        <f t="shared" si="2"/>
        <v>599600</v>
      </c>
      <c r="CO94" s="12">
        <f t="shared" si="2"/>
        <v>303000</v>
      </c>
      <c r="CP94" s="12">
        <f t="shared" si="2"/>
        <v>384000</v>
      </c>
      <c r="CQ94" s="12">
        <f t="shared" si="2"/>
        <v>342850</v>
      </c>
      <c r="CR94" s="12">
        <f t="shared" si="2"/>
        <v>296000</v>
      </c>
      <c r="CS94" s="12">
        <f t="shared" si="2"/>
        <v>388000</v>
      </c>
      <c r="CT94" s="12">
        <f t="shared" si="2"/>
        <v>369000</v>
      </c>
      <c r="CU94" s="12">
        <f t="shared" ref="CU94:DZ94" si="3">CU89+CU84+CU79+CU74+CU69+CU64+CU59+CU54+CU49+CU44+CU39+CU34+CU29+CU24+CU19+CU14+CU9+CU4</f>
        <v>323000</v>
      </c>
      <c r="CV94" s="12">
        <f t="shared" si="3"/>
        <v>345000</v>
      </c>
      <c r="CW94" s="12">
        <f t="shared" si="3"/>
        <v>255000</v>
      </c>
      <c r="CX94" s="12">
        <f t="shared" si="3"/>
        <v>271000</v>
      </c>
      <c r="CY94" s="12">
        <f t="shared" si="3"/>
        <v>327000</v>
      </c>
      <c r="CZ94" s="12">
        <f t="shared" si="3"/>
        <v>345000</v>
      </c>
      <c r="DA94" s="12">
        <f t="shared" si="3"/>
        <v>408000</v>
      </c>
      <c r="DB94" s="12">
        <f t="shared" si="3"/>
        <v>408000</v>
      </c>
      <c r="DC94" s="12">
        <f t="shared" si="3"/>
        <v>331000</v>
      </c>
      <c r="DD94" s="12">
        <f t="shared" si="3"/>
        <v>290000</v>
      </c>
      <c r="DE94" s="12">
        <f t="shared" si="3"/>
        <v>337000</v>
      </c>
      <c r="DF94" s="12">
        <f t="shared" si="3"/>
        <v>271000</v>
      </c>
      <c r="DG94" s="12">
        <f t="shared" si="3"/>
        <v>440000</v>
      </c>
      <c r="DH94" s="12">
        <f t="shared" si="3"/>
        <v>422000</v>
      </c>
      <c r="DI94" s="12">
        <f t="shared" si="3"/>
        <v>326000</v>
      </c>
      <c r="DJ94" s="12">
        <f t="shared" si="3"/>
        <v>326000</v>
      </c>
      <c r="DK94" s="12">
        <f t="shared" si="3"/>
        <v>324000</v>
      </c>
      <c r="DL94" s="12">
        <f t="shared" si="3"/>
        <v>272000</v>
      </c>
      <c r="DM94" s="12">
        <f t="shared" si="3"/>
        <v>405000</v>
      </c>
      <c r="DN94" s="12">
        <f t="shared" si="3"/>
        <v>405000</v>
      </c>
      <c r="DO94" s="12">
        <f t="shared" si="3"/>
        <v>362000</v>
      </c>
      <c r="DP94" s="12">
        <f t="shared" si="3"/>
        <v>380000</v>
      </c>
      <c r="DQ94" s="12">
        <f t="shared" si="3"/>
        <v>563000</v>
      </c>
      <c r="DR94" s="12">
        <f t="shared" si="3"/>
        <v>563000</v>
      </c>
      <c r="DS94" s="12">
        <f t="shared" si="3"/>
        <v>696100</v>
      </c>
      <c r="DT94" s="12">
        <f t="shared" si="3"/>
        <v>452000</v>
      </c>
      <c r="DU94" s="12">
        <f t="shared" si="3"/>
        <v>408000</v>
      </c>
      <c r="DV94" s="12">
        <f t="shared" si="3"/>
        <v>488450</v>
      </c>
      <c r="DW94" s="12">
        <f t="shared" si="3"/>
        <v>439000</v>
      </c>
      <c r="DX94" s="12">
        <f t="shared" si="3"/>
        <v>558000</v>
      </c>
      <c r="DY94" s="12">
        <f t="shared" si="3"/>
        <v>596000</v>
      </c>
      <c r="DZ94" s="12">
        <f t="shared" si="3"/>
        <v>716000</v>
      </c>
      <c r="EA94" s="12">
        <f t="shared" ref="EA94:FF94" si="4">EA89+EA84+EA79+EA74+EA69+EA64+EA59+EA54+EA49+EA44+EA39+EA34+EA29+EA24+EA19+EA14+EA9+EA4</f>
        <v>676000</v>
      </c>
      <c r="EB94" s="12">
        <f t="shared" si="4"/>
        <v>645000</v>
      </c>
      <c r="EC94" s="12">
        <f t="shared" si="4"/>
        <v>608000</v>
      </c>
      <c r="ED94" s="12">
        <f t="shared" si="4"/>
        <v>600000</v>
      </c>
      <c r="EE94" s="12">
        <f t="shared" si="4"/>
        <v>636000</v>
      </c>
      <c r="EF94" s="12">
        <f t="shared" si="4"/>
        <v>655000</v>
      </c>
      <c r="EG94" s="12">
        <f t="shared" si="4"/>
        <v>611000</v>
      </c>
      <c r="EH94" s="12">
        <f t="shared" si="4"/>
        <v>611000</v>
      </c>
      <c r="EI94" s="12">
        <f t="shared" si="4"/>
        <v>776000</v>
      </c>
      <c r="EJ94" s="12">
        <f t="shared" si="4"/>
        <v>822000</v>
      </c>
      <c r="EK94" s="12">
        <f t="shared" si="4"/>
        <v>659000</v>
      </c>
      <c r="EL94" s="12">
        <f t="shared" si="4"/>
        <v>772000</v>
      </c>
      <c r="EM94" s="12">
        <f t="shared" si="4"/>
        <v>646000</v>
      </c>
      <c r="EN94" s="12">
        <f t="shared" si="4"/>
        <v>651000</v>
      </c>
      <c r="EO94" s="12">
        <f t="shared" si="4"/>
        <v>811000</v>
      </c>
      <c r="EP94" s="12">
        <f t="shared" si="4"/>
        <v>649000</v>
      </c>
      <c r="EQ94" s="12">
        <f t="shared" si="4"/>
        <v>579000</v>
      </c>
      <c r="ER94" s="12">
        <f t="shared" si="4"/>
        <v>692000</v>
      </c>
      <c r="ES94" s="12">
        <f t="shared" si="4"/>
        <v>683000</v>
      </c>
      <c r="ET94" s="12">
        <f t="shared" si="4"/>
        <v>736000</v>
      </c>
      <c r="EU94" s="12">
        <f t="shared" si="4"/>
        <v>643000</v>
      </c>
      <c r="EV94" s="12">
        <f t="shared" si="4"/>
        <v>605000</v>
      </c>
      <c r="EW94" s="12">
        <f t="shared" si="4"/>
        <v>609000</v>
      </c>
      <c r="EX94" s="12">
        <f t="shared" si="4"/>
        <v>621000</v>
      </c>
      <c r="EY94" s="12">
        <f t="shared" si="4"/>
        <v>621000</v>
      </c>
      <c r="EZ94" s="12">
        <f t="shared" si="4"/>
        <v>678000</v>
      </c>
      <c r="FA94" s="12">
        <f t="shared" si="4"/>
        <v>564000</v>
      </c>
      <c r="FB94" s="12">
        <f t="shared" si="4"/>
        <v>607000</v>
      </c>
      <c r="FC94" s="12">
        <f t="shared" si="4"/>
        <v>650000</v>
      </c>
      <c r="FD94" s="12">
        <f t="shared" si="4"/>
        <v>732000</v>
      </c>
      <c r="FE94" s="12">
        <f t="shared" si="4"/>
        <v>619000</v>
      </c>
      <c r="FF94" s="12">
        <f t="shared" si="4"/>
        <v>576000</v>
      </c>
      <c r="FG94" s="12">
        <f t="shared" ref="FG94:GL94" si="5">FG89+FG84+FG79+FG74+FG69+FG64+FG59+FG54+FG49+FG44+FG39+FG34+FG29+FG24+FG19+FG14+FG9+FG4</f>
        <v>682000</v>
      </c>
      <c r="FH94" s="12">
        <f t="shared" si="5"/>
        <v>480000</v>
      </c>
      <c r="FI94" s="12">
        <f t="shared" si="5"/>
        <v>480000</v>
      </c>
      <c r="FJ94" s="12">
        <f t="shared" si="5"/>
        <v>506000</v>
      </c>
      <c r="FK94" s="12">
        <f t="shared" si="5"/>
        <v>806000</v>
      </c>
      <c r="FL94" s="12">
        <f t="shared" si="5"/>
        <v>766000</v>
      </c>
      <c r="FM94" s="12">
        <f t="shared" si="5"/>
        <v>748000</v>
      </c>
      <c r="FN94" s="12">
        <f t="shared" si="5"/>
        <v>723000</v>
      </c>
      <c r="FO94" s="12">
        <f t="shared" si="5"/>
        <v>723000</v>
      </c>
      <c r="FP94" s="12">
        <f t="shared" si="5"/>
        <v>787000</v>
      </c>
      <c r="FQ94" s="12">
        <f t="shared" si="5"/>
        <v>917000</v>
      </c>
      <c r="FR94" s="12">
        <f t="shared" si="5"/>
        <v>1010000</v>
      </c>
      <c r="FS94" s="12">
        <f t="shared" si="5"/>
        <v>917000</v>
      </c>
      <c r="FT94" s="12">
        <f t="shared" si="5"/>
        <v>865000</v>
      </c>
      <c r="FU94" s="12">
        <f t="shared" si="5"/>
        <v>938000</v>
      </c>
      <c r="FV94" s="12">
        <f t="shared" si="5"/>
        <v>1151000</v>
      </c>
      <c r="FW94" s="12">
        <f t="shared" si="5"/>
        <v>1109000</v>
      </c>
      <c r="FX94" s="12">
        <f t="shared" si="5"/>
        <v>1085000</v>
      </c>
      <c r="FY94" s="12">
        <f t="shared" si="5"/>
        <v>1054000</v>
      </c>
      <c r="FZ94" s="12">
        <f t="shared" si="5"/>
        <v>597000</v>
      </c>
      <c r="GA94" s="12">
        <f t="shared" si="5"/>
        <v>926000</v>
      </c>
      <c r="GB94" s="12">
        <f t="shared" si="5"/>
        <v>1045000</v>
      </c>
      <c r="GC94" s="12">
        <f t="shared" si="5"/>
        <v>1051000</v>
      </c>
      <c r="GD94" s="12">
        <f t="shared" si="5"/>
        <v>970000</v>
      </c>
      <c r="GE94" s="12">
        <f t="shared" si="5"/>
        <v>728000</v>
      </c>
      <c r="GF94" s="12">
        <f t="shared" si="5"/>
        <v>794000</v>
      </c>
      <c r="GG94" s="12">
        <f t="shared" si="5"/>
        <v>794000</v>
      </c>
      <c r="GH94" s="12">
        <f t="shared" si="5"/>
        <v>847000</v>
      </c>
      <c r="GI94" s="12">
        <f t="shared" si="5"/>
        <v>910000</v>
      </c>
      <c r="GJ94" s="12">
        <f t="shared" si="5"/>
        <v>849000</v>
      </c>
      <c r="GK94" s="12">
        <f t="shared" si="5"/>
        <v>934000</v>
      </c>
      <c r="GL94" s="12">
        <f t="shared" si="5"/>
        <v>928000</v>
      </c>
      <c r="GM94" s="12">
        <f t="shared" ref="GM94:GT94" si="6">GM89+GM84+GM79+GM74+GM69+GM64+GM59+GM54+GM49+GM44+GM39+GM34+GM29+GM24+GM19+GM14+GM9+GM4</f>
        <v>783000</v>
      </c>
      <c r="GN94" s="12">
        <f t="shared" si="6"/>
        <v>922000</v>
      </c>
      <c r="GO94" s="12">
        <f t="shared" si="6"/>
        <v>922000</v>
      </c>
      <c r="GP94" s="12">
        <f t="shared" si="6"/>
        <v>845000</v>
      </c>
      <c r="GQ94" s="12">
        <f t="shared" si="6"/>
        <v>987000</v>
      </c>
      <c r="GR94" s="12">
        <f t="shared" si="6"/>
        <v>740000</v>
      </c>
      <c r="GS94" s="12">
        <f t="shared" si="6"/>
        <v>671000</v>
      </c>
      <c r="GT94" s="12">
        <f t="shared" si="6"/>
        <v>1081000</v>
      </c>
      <c r="GU94" s="12">
        <f>GU79+GU74+GU69+GU64+GU59+GU54+GU49+GU44+GU39+GU34+GU29+GU24+GU19+GU14+GU9+GU4</f>
        <v>976000</v>
      </c>
      <c r="GV94" s="12">
        <f>GV79+GV74+GV69+GV64+GV59+GV54+GV49+GV44+GV39+GV34+GV29+GV24+GV19+GV14+GV9+GV4</f>
        <v>728000</v>
      </c>
      <c r="GW94" s="12">
        <f t="shared" ref="GW94:HE94" si="7">GW89+GW84+GW79+GW74+GW69+GW64+GW59+GW54+GW49+GW44+GW39+GW34+GW29+GW24+GW19+GW14+GW9+GW4</f>
        <v>755000</v>
      </c>
      <c r="GX94" s="12">
        <f t="shared" si="7"/>
        <v>785000</v>
      </c>
      <c r="GY94" s="12">
        <f t="shared" si="7"/>
        <v>783000</v>
      </c>
      <c r="GZ94" s="12">
        <f t="shared" si="7"/>
        <v>712000</v>
      </c>
      <c r="HA94" s="12">
        <f t="shared" si="7"/>
        <v>712000</v>
      </c>
      <c r="HB94" s="12">
        <f t="shared" si="7"/>
        <v>707000</v>
      </c>
      <c r="HC94" s="12">
        <f t="shared" si="7"/>
        <v>773000</v>
      </c>
      <c r="HD94" s="12">
        <f t="shared" si="7"/>
        <v>773000</v>
      </c>
      <c r="HE94" s="12">
        <f t="shared" si="7"/>
        <v>736000</v>
      </c>
      <c r="HP94" s="129"/>
    </row>
    <row r="95" spans="1:245" s="12" customFormat="1" x14ac:dyDescent="0.2">
      <c r="A95" s="12" t="s">
        <v>4</v>
      </c>
      <c r="B95" s="13">
        <f>SUM(C95:ZZ95)</f>
        <v>126665955</v>
      </c>
      <c r="C95" s="12">
        <f t="shared" ref="C95:AH95" si="8">C90+C85+C80+C75+C70+C65+C60+C55+C50+C45+C40+C35+C30+C25+C20+C15+C10+C5</f>
        <v>345650</v>
      </c>
      <c r="D95" s="12">
        <f t="shared" si="8"/>
        <v>400200</v>
      </c>
      <c r="E95" s="12">
        <f t="shared" si="8"/>
        <v>468900</v>
      </c>
      <c r="F95" s="12">
        <f t="shared" si="8"/>
        <v>134850</v>
      </c>
      <c r="G95" s="12">
        <f t="shared" si="8"/>
        <v>794850</v>
      </c>
      <c r="H95" s="12">
        <f t="shared" si="8"/>
        <v>77100</v>
      </c>
      <c r="I95" s="12">
        <f t="shared" si="8"/>
        <v>401400</v>
      </c>
      <c r="J95" s="12">
        <f t="shared" si="8"/>
        <v>854700</v>
      </c>
      <c r="K95" s="12">
        <f t="shared" si="8"/>
        <v>728700</v>
      </c>
      <c r="L95" s="12">
        <f t="shared" si="8"/>
        <v>305650</v>
      </c>
      <c r="M95" s="12">
        <f t="shared" si="8"/>
        <v>294150</v>
      </c>
      <c r="N95" s="12">
        <f t="shared" si="8"/>
        <v>223500</v>
      </c>
      <c r="O95" s="12">
        <f t="shared" si="8"/>
        <v>408650</v>
      </c>
      <c r="P95" s="12">
        <f t="shared" si="8"/>
        <v>1271750</v>
      </c>
      <c r="Q95" s="12">
        <f t="shared" si="8"/>
        <v>404450</v>
      </c>
      <c r="R95" s="12">
        <f t="shared" si="8"/>
        <v>845450</v>
      </c>
      <c r="S95" s="12">
        <f t="shared" si="8"/>
        <v>474300</v>
      </c>
      <c r="T95" s="12">
        <f t="shared" si="8"/>
        <v>401500</v>
      </c>
      <c r="U95" s="12">
        <f t="shared" si="8"/>
        <v>44250</v>
      </c>
      <c r="V95" s="12">
        <f t="shared" si="8"/>
        <v>33300</v>
      </c>
      <c r="W95" s="12">
        <f t="shared" si="8"/>
        <v>191250</v>
      </c>
      <c r="X95" s="12">
        <f t="shared" si="8"/>
        <v>260550</v>
      </c>
      <c r="Y95" s="12">
        <f t="shared" si="8"/>
        <v>716700</v>
      </c>
      <c r="Z95" s="12">
        <f t="shared" si="8"/>
        <v>1015200</v>
      </c>
      <c r="AA95" s="12">
        <f t="shared" si="8"/>
        <v>458950</v>
      </c>
      <c r="AB95" s="12">
        <f t="shared" si="8"/>
        <v>960700</v>
      </c>
      <c r="AC95" s="12">
        <f t="shared" si="8"/>
        <v>108750</v>
      </c>
      <c r="AD95" s="12">
        <f t="shared" si="8"/>
        <v>179550</v>
      </c>
      <c r="AE95" s="12">
        <f t="shared" si="8"/>
        <v>164550</v>
      </c>
      <c r="AF95" s="12">
        <f t="shared" si="8"/>
        <v>736350</v>
      </c>
      <c r="AG95" s="12">
        <f t="shared" si="8"/>
        <v>1476300</v>
      </c>
      <c r="AH95" s="12">
        <f t="shared" si="8"/>
        <v>1368950</v>
      </c>
      <c r="AI95" s="12">
        <f t="shared" ref="AI95:BN95" si="9">AI90+AI85+AI80+AI75+AI70+AI65+AI60+AI55+AI50+AI45+AI40+AI35+AI30+AI25+AI20+AI15+AI10+AI5</f>
        <v>216050</v>
      </c>
      <c r="AJ95" s="12">
        <f t="shared" si="9"/>
        <v>615350</v>
      </c>
      <c r="AK95" s="12">
        <f t="shared" si="9"/>
        <v>519600</v>
      </c>
      <c r="AL95" s="12">
        <f t="shared" si="9"/>
        <v>392250</v>
      </c>
      <c r="AM95" s="12">
        <f t="shared" si="9"/>
        <v>984100</v>
      </c>
      <c r="AN95" s="12">
        <f t="shared" si="9"/>
        <v>229950</v>
      </c>
      <c r="AO95" s="12">
        <f t="shared" si="9"/>
        <v>221800</v>
      </c>
      <c r="AP95" s="12">
        <f t="shared" si="9"/>
        <v>499950</v>
      </c>
      <c r="AQ95" s="12">
        <f t="shared" si="9"/>
        <v>705450</v>
      </c>
      <c r="AR95" s="12">
        <f t="shared" si="9"/>
        <v>548250</v>
      </c>
      <c r="AS95" s="12">
        <f t="shared" si="9"/>
        <v>1066500</v>
      </c>
      <c r="AT95" s="12">
        <f t="shared" si="9"/>
        <v>728050</v>
      </c>
      <c r="AU95" s="12">
        <f t="shared" si="9"/>
        <v>320100</v>
      </c>
      <c r="AV95" s="12">
        <f t="shared" si="9"/>
        <v>782450</v>
      </c>
      <c r="AW95" s="12">
        <f t="shared" si="9"/>
        <v>433950</v>
      </c>
      <c r="AX95" s="12">
        <f t="shared" si="9"/>
        <v>718950</v>
      </c>
      <c r="AY95" s="12">
        <f t="shared" si="9"/>
        <v>666600</v>
      </c>
      <c r="AZ95" s="12">
        <f t="shared" si="9"/>
        <v>1980250</v>
      </c>
      <c r="BA95" s="12">
        <f t="shared" si="9"/>
        <v>142200</v>
      </c>
      <c r="BB95" s="12">
        <f t="shared" si="9"/>
        <v>968700</v>
      </c>
      <c r="BC95" s="12">
        <f t="shared" si="9"/>
        <v>667650</v>
      </c>
      <c r="BD95" s="12">
        <f t="shared" si="9"/>
        <v>171450</v>
      </c>
      <c r="BE95" s="12">
        <f t="shared" si="9"/>
        <v>303000</v>
      </c>
      <c r="BF95" s="12">
        <f t="shared" si="9"/>
        <v>37950</v>
      </c>
      <c r="BG95" s="12">
        <f t="shared" si="9"/>
        <v>99450</v>
      </c>
      <c r="BH95" s="12">
        <f t="shared" si="9"/>
        <v>418500</v>
      </c>
      <c r="BI95" s="12">
        <f t="shared" si="9"/>
        <v>693700</v>
      </c>
      <c r="BJ95" s="12">
        <f t="shared" si="9"/>
        <v>1248600</v>
      </c>
      <c r="BK95" s="12">
        <f t="shared" si="9"/>
        <v>1258950</v>
      </c>
      <c r="BL95" s="12">
        <f t="shared" si="9"/>
        <v>211650</v>
      </c>
      <c r="BM95" s="12">
        <f t="shared" si="9"/>
        <v>174000</v>
      </c>
      <c r="BN95" s="12">
        <f t="shared" si="9"/>
        <v>598400</v>
      </c>
      <c r="BO95" s="12">
        <f t="shared" ref="BO95:CT95" si="10">BO90+BO85+BO80+BO75+BO70+BO65+BO60+BO55+BO50+BO45+BO40+BO35+BO30+BO25+BO20+BO15+BO10+BO5</f>
        <v>211350</v>
      </c>
      <c r="BP95" s="12">
        <f t="shared" si="10"/>
        <v>187350</v>
      </c>
      <c r="BQ95" s="12">
        <f t="shared" si="10"/>
        <v>867300</v>
      </c>
      <c r="BR95" s="12">
        <f t="shared" si="10"/>
        <v>259100</v>
      </c>
      <c r="BS95" s="12">
        <f t="shared" si="10"/>
        <v>699150</v>
      </c>
      <c r="BT95" s="12">
        <f t="shared" si="10"/>
        <v>1285650</v>
      </c>
      <c r="BU95" s="12">
        <f t="shared" si="10"/>
        <v>714650</v>
      </c>
      <c r="BV95" s="12">
        <f t="shared" si="10"/>
        <v>326700</v>
      </c>
      <c r="BW95" s="12">
        <f t="shared" si="10"/>
        <v>17850</v>
      </c>
      <c r="BX95" s="12">
        <f t="shared" si="10"/>
        <v>61650</v>
      </c>
      <c r="BY95" s="12">
        <f t="shared" si="10"/>
        <v>188100</v>
      </c>
      <c r="BZ95" s="12">
        <f t="shared" si="10"/>
        <v>198900</v>
      </c>
      <c r="CA95" s="12">
        <f t="shared" si="10"/>
        <v>244650</v>
      </c>
      <c r="CB95" s="12">
        <f t="shared" si="10"/>
        <v>463050</v>
      </c>
      <c r="CC95" s="12">
        <f t="shared" si="10"/>
        <v>1203450</v>
      </c>
      <c r="CD95" s="12">
        <f t="shared" si="10"/>
        <v>519850</v>
      </c>
      <c r="CE95" s="12">
        <f t="shared" si="10"/>
        <v>178950</v>
      </c>
      <c r="CF95" s="12">
        <f t="shared" si="10"/>
        <v>188850</v>
      </c>
      <c r="CG95" s="12">
        <f t="shared" si="10"/>
        <v>80700</v>
      </c>
      <c r="CH95" s="12">
        <f t="shared" si="10"/>
        <v>106200</v>
      </c>
      <c r="CI95" s="12">
        <f t="shared" si="10"/>
        <v>795300</v>
      </c>
      <c r="CJ95" s="12">
        <f t="shared" si="10"/>
        <v>110100</v>
      </c>
      <c r="CK95" s="12">
        <f t="shared" si="10"/>
        <v>939050</v>
      </c>
      <c r="CL95" s="12">
        <f t="shared" si="10"/>
        <v>678850</v>
      </c>
      <c r="CM95" s="12">
        <f t="shared" si="10"/>
        <v>392750</v>
      </c>
      <c r="CN95" s="12">
        <f t="shared" si="10"/>
        <v>669350</v>
      </c>
      <c r="CO95" s="12">
        <f t="shared" si="10"/>
        <v>6300</v>
      </c>
      <c r="CP95" s="12">
        <f t="shared" si="10"/>
        <v>7950</v>
      </c>
      <c r="CQ95" s="12">
        <f t="shared" si="10"/>
        <v>269250</v>
      </c>
      <c r="CR95" s="12">
        <f t="shared" si="10"/>
        <v>461850</v>
      </c>
      <c r="CS95" s="12">
        <f t="shared" si="10"/>
        <v>481650</v>
      </c>
      <c r="CT95" s="12">
        <f t="shared" si="10"/>
        <v>641100</v>
      </c>
      <c r="CU95" s="12">
        <f t="shared" ref="CU95:DZ95" si="11">CU90+CU85+CU80+CU75+CU70+CU65+CU60+CU55+CU50+CU45+CU40+CU35+CU30+CU25+CU20+CU15+CU10+CU5</f>
        <v>791100</v>
      </c>
      <c r="CV95" s="12">
        <f t="shared" si="11"/>
        <v>336900</v>
      </c>
      <c r="CW95" s="12">
        <f t="shared" si="11"/>
        <v>94650</v>
      </c>
      <c r="CX95" s="12">
        <f t="shared" si="11"/>
        <v>59400</v>
      </c>
      <c r="CY95" s="12">
        <f t="shared" si="11"/>
        <v>140100</v>
      </c>
      <c r="CZ95" s="12">
        <f t="shared" si="11"/>
        <v>280350</v>
      </c>
      <c r="DA95" s="12">
        <f t="shared" si="11"/>
        <v>744750</v>
      </c>
      <c r="DB95" s="12">
        <f t="shared" si="11"/>
        <v>217500</v>
      </c>
      <c r="DC95" s="12">
        <f t="shared" si="11"/>
        <v>609500</v>
      </c>
      <c r="DD95" s="12">
        <f t="shared" si="11"/>
        <v>410750</v>
      </c>
      <c r="DE95" s="12">
        <f t="shared" si="11"/>
        <v>234000</v>
      </c>
      <c r="DF95" s="12">
        <f t="shared" si="11"/>
        <v>46200</v>
      </c>
      <c r="DG95" s="12">
        <f t="shared" si="11"/>
        <v>259650</v>
      </c>
      <c r="DH95" s="12">
        <f t="shared" si="11"/>
        <v>199050</v>
      </c>
      <c r="DI95" s="12">
        <f t="shared" si="11"/>
        <v>25650</v>
      </c>
      <c r="DJ95" s="12">
        <f t="shared" si="11"/>
        <v>202800</v>
      </c>
      <c r="DK95" s="12">
        <f t="shared" si="11"/>
        <v>436950</v>
      </c>
      <c r="DL95" s="12">
        <f t="shared" si="11"/>
        <v>276300</v>
      </c>
      <c r="DM95" s="12">
        <f t="shared" si="11"/>
        <v>969900</v>
      </c>
      <c r="DN95" s="12">
        <f t="shared" si="11"/>
        <v>423000</v>
      </c>
      <c r="DO95" s="12">
        <f t="shared" si="11"/>
        <v>135150</v>
      </c>
      <c r="DP95" s="12">
        <f t="shared" si="11"/>
        <v>141000</v>
      </c>
      <c r="DQ95" s="12">
        <f t="shared" si="11"/>
        <v>95400</v>
      </c>
      <c r="DR95" s="12">
        <f t="shared" si="11"/>
        <v>741850</v>
      </c>
      <c r="DS95" s="12">
        <f t="shared" si="11"/>
        <v>860100</v>
      </c>
      <c r="DT95" s="12">
        <f t="shared" si="11"/>
        <v>218400</v>
      </c>
      <c r="DU95" s="12">
        <f t="shared" si="11"/>
        <v>1685250</v>
      </c>
      <c r="DV95" s="12">
        <f t="shared" si="11"/>
        <v>1004950</v>
      </c>
      <c r="DW95" s="12">
        <f t="shared" si="11"/>
        <v>306300</v>
      </c>
      <c r="DX95" s="12">
        <f t="shared" si="11"/>
        <v>35700</v>
      </c>
      <c r="DY95" s="12">
        <f t="shared" si="11"/>
        <v>84750</v>
      </c>
      <c r="DZ95" s="12">
        <f t="shared" si="11"/>
        <v>199950</v>
      </c>
      <c r="EA95" s="12">
        <f t="shared" ref="EA95:FF95" si="12">EA90+EA85+EA80+EA75+EA70+EA65+EA60+EA55+EA50+EA45+EA40+EA35+EA30+EA25+EA20+EA15+EA10+EA5</f>
        <v>447950</v>
      </c>
      <c r="EB95" s="12">
        <f t="shared" si="12"/>
        <v>876650</v>
      </c>
      <c r="EC95" s="12">
        <f t="shared" si="12"/>
        <v>675000</v>
      </c>
      <c r="ED95" s="12">
        <f t="shared" si="12"/>
        <v>294300</v>
      </c>
      <c r="EE95" s="12">
        <f t="shared" si="12"/>
        <v>1168200</v>
      </c>
      <c r="EF95" s="12">
        <f t="shared" si="12"/>
        <v>427050</v>
      </c>
      <c r="EG95" s="12">
        <f t="shared" si="12"/>
        <v>1100650</v>
      </c>
      <c r="EH95" s="12">
        <f t="shared" si="12"/>
        <v>768950</v>
      </c>
      <c r="EI95" s="12">
        <f t="shared" si="12"/>
        <v>169950</v>
      </c>
      <c r="EJ95" s="12">
        <f t="shared" si="12"/>
        <v>540750</v>
      </c>
      <c r="EK95" s="12">
        <f t="shared" si="12"/>
        <v>1342650</v>
      </c>
      <c r="EL95" s="12">
        <f t="shared" si="12"/>
        <v>757650</v>
      </c>
      <c r="EM95" s="12">
        <f t="shared" si="12"/>
        <v>1125650</v>
      </c>
      <c r="EN95" s="12">
        <f t="shared" si="12"/>
        <v>1550000</v>
      </c>
      <c r="EO95" s="12">
        <f t="shared" si="12"/>
        <v>599550</v>
      </c>
      <c r="EP95" s="12">
        <f t="shared" si="12"/>
        <v>24450</v>
      </c>
      <c r="EQ95" s="12">
        <f t="shared" si="12"/>
        <v>574500</v>
      </c>
      <c r="ER95" s="12">
        <f t="shared" si="12"/>
        <v>439200</v>
      </c>
      <c r="ES95" s="12">
        <f t="shared" si="12"/>
        <v>501750</v>
      </c>
      <c r="ET95" s="12">
        <f t="shared" si="12"/>
        <v>449250</v>
      </c>
      <c r="EU95" s="12">
        <f t="shared" si="12"/>
        <v>1073100</v>
      </c>
      <c r="EV95" s="12">
        <f t="shared" si="12"/>
        <v>1436700</v>
      </c>
      <c r="EW95" s="12">
        <f t="shared" si="12"/>
        <v>1093150</v>
      </c>
      <c r="EX95" s="12">
        <f t="shared" si="12"/>
        <v>245850</v>
      </c>
      <c r="EY95" s="12">
        <f t="shared" si="12"/>
        <v>987850</v>
      </c>
      <c r="EZ95" s="12">
        <f t="shared" si="12"/>
        <v>286650</v>
      </c>
      <c r="FA95" s="12">
        <f t="shared" si="12"/>
        <v>1236850</v>
      </c>
      <c r="FB95" s="12">
        <f t="shared" si="12"/>
        <v>371100</v>
      </c>
      <c r="FC95" s="12">
        <f t="shared" si="12"/>
        <v>2022150</v>
      </c>
      <c r="FD95" s="12">
        <f t="shared" si="12"/>
        <v>954150</v>
      </c>
      <c r="FE95" s="12">
        <f t="shared" si="12"/>
        <v>1317400</v>
      </c>
      <c r="FF95" s="12">
        <f t="shared" si="12"/>
        <v>1353200</v>
      </c>
      <c r="FG95" s="12">
        <f t="shared" ref="FG95:GL95" si="13">FG90+FG85+FG80+FG75+FG70+FG65+FG60+FG55+FG50+FG45+FG40+FG35+FG30+FG25+FG20+FG15+FG10+FG5</f>
        <v>345900</v>
      </c>
      <c r="FH95" s="12">
        <f t="shared" si="13"/>
        <v>60600</v>
      </c>
      <c r="FI95" s="12">
        <f t="shared" si="13"/>
        <v>298800</v>
      </c>
      <c r="FJ95" s="12">
        <f t="shared" si="13"/>
        <v>87750</v>
      </c>
      <c r="FK95" s="12">
        <f t="shared" si="13"/>
        <v>244650</v>
      </c>
      <c r="FL95" s="12">
        <f t="shared" si="13"/>
        <v>528150</v>
      </c>
      <c r="FM95" s="12">
        <f t="shared" si="13"/>
        <v>633000</v>
      </c>
      <c r="FN95" s="12">
        <f t="shared" si="13"/>
        <v>1795800</v>
      </c>
      <c r="FO95" s="12">
        <f t="shared" si="13"/>
        <v>1210050</v>
      </c>
      <c r="FP95" s="12">
        <f t="shared" si="13"/>
        <v>508350</v>
      </c>
      <c r="FQ95" s="12">
        <f t="shared" si="13"/>
        <v>1261600</v>
      </c>
      <c r="FR95" s="12">
        <f t="shared" si="13"/>
        <v>552750</v>
      </c>
      <c r="FS95" s="12">
        <f t="shared" si="13"/>
        <v>628500</v>
      </c>
      <c r="FT95" s="12">
        <f t="shared" si="13"/>
        <v>763200</v>
      </c>
      <c r="FU95" s="12">
        <f t="shared" si="13"/>
        <v>1422150</v>
      </c>
      <c r="FV95" s="12">
        <f t="shared" si="13"/>
        <v>761800</v>
      </c>
      <c r="FW95" s="12">
        <f t="shared" si="13"/>
        <v>1594450</v>
      </c>
      <c r="FX95" s="12">
        <f t="shared" si="13"/>
        <v>1937000</v>
      </c>
      <c r="FY95" s="12">
        <f t="shared" si="13"/>
        <v>396750</v>
      </c>
      <c r="FZ95" s="12">
        <f t="shared" si="13"/>
        <v>188500</v>
      </c>
      <c r="GA95" s="12">
        <f t="shared" si="13"/>
        <v>276000</v>
      </c>
      <c r="GB95" s="12">
        <f t="shared" si="13"/>
        <v>184200</v>
      </c>
      <c r="GC95" s="12">
        <f t="shared" si="13"/>
        <v>501950</v>
      </c>
      <c r="GD95" s="12">
        <f t="shared" si="13"/>
        <v>788150</v>
      </c>
      <c r="GE95" s="12">
        <f t="shared" si="13"/>
        <v>1067100</v>
      </c>
      <c r="GF95" s="12">
        <f t="shared" si="13"/>
        <v>1522500</v>
      </c>
      <c r="GG95" s="12">
        <f t="shared" si="13"/>
        <v>616050</v>
      </c>
      <c r="GH95" s="12">
        <f t="shared" si="13"/>
        <v>544950</v>
      </c>
      <c r="GI95" s="12">
        <f t="shared" si="13"/>
        <v>773200</v>
      </c>
      <c r="GJ95" s="12">
        <f t="shared" si="13"/>
        <v>381550</v>
      </c>
      <c r="GK95" s="12">
        <f t="shared" si="13"/>
        <v>544500</v>
      </c>
      <c r="GL95" s="12">
        <f t="shared" si="13"/>
        <v>656250</v>
      </c>
      <c r="GM95" s="12">
        <f t="shared" ref="GM95:GT95" si="14">GM90+GM85+GM80+GM75+GM70+GM65+GM60+GM55+GM50+GM45+GM40+GM35+GM30+GM25+GM20+GM15+GM10+GM5</f>
        <v>1228800</v>
      </c>
      <c r="GN95" s="12">
        <f t="shared" si="14"/>
        <v>1148400</v>
      </c>
      <c r="GO95" s="12">
        <f t="shared" si="14"/>
        <v>2165300</v>
      </c>
      <c r="GP95" s="12">
        <f t="shared" si="14"/>
        <v>1575150</v>
      </c>
      <c r="GQ95" s="12">
        <f t="shared" si="14"/>
        <v>281700</v>
      </c>
      <c r="GR95" s="12">
        <f t="shared" si="14"/>
        <v>421500</v>
      </c>
      <c r="GS95" s="12">
        <f t="shared" si="14"/>
        <v>125250</v>
      </c>
      <c r="GT95" s="12">
        <f t="shared" si="14"/>
        <v>344100</v>
      </c>
      <c r="GU95" s="12">
        <f>GU75+GU70+GU65+GU60+GU55+GU50+GU45+GU40+GU35+GU30+GU25+GU20+GU15+GU10+GU5</f>
        <v>356550</v>
      </c>
      <c r="GV95" s="12">
        <f>GV80+GV75+GV70+GV65+GV60+GV55+GV50+GV45+GV40+GV35+GV30+GV25+GV20+GV15+GV10+GV5</f>
        <v>294550</v>
      </c>
      <c r="GW95" s="12">
        <f t="shared" ref="GW95:HE95" si="15">GW90+GW85+GW80+GW75+GW70+GW65+GW60+GW55+GW50+GW45+GW40+GW35+GW30+GW25+GW20+GW15+GW10+GW5</f>
        <v>1422450</v>
      </c>
      <c r="GX95" s="12">
        <f t="shared" si="15"/>
        <v>1012650</v>
      </c>
      <c r="GY95" s="12">
        <f t="shared" si="15"/>
        <v>849210</v>
      </c>
      <c r="GZ95" s="12">
        <f t="shared" si="15"/>
        <v>721000</v>
      </c>
      <c r="HA95" s="12">
        <f t="shared" si="15"/>
        <v>359195</v>
      </c>
      <c r="HB95" s="12">
        <f t="shared" si="15"/>
        <v>457900</v>
      </c>
      <c r="HC95" s="12">
        <f t="shared" si="15"/>
        <v>1764450</v>
      </c>
      <c r="HD95" s="12">
        <f t="shared" si="15"/>
        <v>601200</v>
      </c>
      <c r="HE95" s="12">
        <f t="shared" si="15"/>
        <v>1349050</v>
      </c>
      <c r="HP95" s="129"/>
    </row>
    <row r="96" spans="1:245" ht="15" x14ac:dyDescent="0.25">
      <c r="A96" s="88" t="s">
        <v>6</v>
      </c>
      <c r="B96" s="130">
        <f t="shared" ref="B96:BM96" si="16">B95-B94</f>
        <v>-3328145</v>
      </c>
      <c r="C96" s="131">
        <f t="shared" si="16"/>
        <v>-223350</v>
      </c>
      <c r="D96" s="131">
        <f t="shared" si="16"/>
        <v>-199800</v>
      </c>
      <c r="E96" s="131">
        <f t="shared" si="16"/>
        <v>-188100</v>
      </c>
      <c r="F96" s="131">
        <f t="shared" si="16"/>
        <v>-508150</v>
      </c>
      <c r="G96" s="131">
        <f t="shared" si="16"/>
        <v>175850</v>
      </c>
      <c r="H96" s="131">
        <f t="shared" si="16"/>
        <v>-402900</v>
      </c>
      <c r="I96" s="131">
        <f t="shared" si="16"/>
        <v>-84600</v>
      </c>
      <c r="J96" s="131">
        <f t="shared" si="16"/>
        <v>434700</v>
      </c>
      <c r="K96" s="131">
        <f t="shared" si="16"/>
        <v>209700</v>
      </c>
      <c r="L96" s="131">
        <f t="shared" si="16"/>
        <v>-121350</v>
      </c>
      <c r="M96" s="131">
        <f t="shared" si="16"/>
        <v>-170850</v>
      </c>
      <c r="N96" s="131">
        <f t="shared" si="16"/>
        <v>-371500</v>
      </c>
      <c r="O96" s="131">
        <f t="shared" si="16"/>
        <v>-166350</v>
      </c>
      <c r="P96" s="131">
        <f t="shared" si="16"/>
        <v>919750</v>
      </c>
      <c r="Q96" s="131">
        <f t="shared" si="16"/>
        <v>3450</v>
      </c>
      <c r="R96" s="131">
        <f t="shared" si="16"/>
        <v>444450</v>
      </c>
      <c r="S96" s="131">
        <f t="shared" si="16"/>
        <v>75300</v>
      </c>
      <c r="T96" s="131">
        <f t="shared" si="16"/>
        <v>-299500</v>
      </c>
      <c r="U96" s="131">
        <f t="shared" si="16"/>
        <v>-515750</v>
      </c>
      <c r="V96" s="131">
        <f t="shared" si="16"/>
        <v>-531700</v>
      </c>
      <c r="W96" s="131">
        <f t="shared" si="16"/>
        <v>-366750</v>
      </c>
      <c r="X96" s="131">
        <f t="shared" si="16"/>
        <v>-226450</v>
      </c>
      <c r="Y96" s="131">
        <f t="shared" si="16"/>
        <v>353700</v>
      </c>
      <c r="Z96" s="131">
        <f t="shared" si="16"/>
        <v>495200</v>
      </c>
      <c r="AA96" s="131">
        <f t="shared" si="16"/>
        <v>-161050</v>
      </c>
      <c r="AB96" s="131">
        <f t="shared" si="16"/>
        <v>340700</v>
      </c>
      <c r="AC96" s="131">
        <f t="shared" si="16"/>
        <v>-511250</v>
      </c>
      <c r="AD96" s="131">
        <f t="shared" si="16"/>
        <v>-440450</v>
      </c>
      <c r="AE96" s="131">
        <f t="shared" si="16"/>
        <v>-449450</v>
      </c>
      <c r="AF96" s="131">
        <f t="shared" si="16"/>
        <v>168350</v>
      </c>
      <c r="AG96" s="131">
        <f t="shared" si="16"/>
        <v>1030300</v>
      </c>
      <c r="AH96" s="131">
        <f t="shared" si="16"/>
        <v>910950</v>
      </c>
      <c r="AI96" s="131">
        <f t="shared" si="16"/>
        <v>-349950</v>
      </c>
      <c r="AJ96" s="131">
        <f t="shared" si="16"/>
        <v>-7650</v>
      </c>
      <c r="AK96" s="131">
        <f t="shared" si="16"/>
        <v>-47400</v>
      </c>
      <c r="AL96" s="131">
        <f t="shared" si="16"/>
        <v>-174750</v>
      </c>
      <c r="AM96" s="131">
        <f t="shared" si="16"/>
        <v>484100</v>
      </c>
      <c r="AN96" s="131">
        <f t="shared" si="16"/>
        <v>-649450</v>
      </c>
      <c r="AO96" s="131">
        <f t="shared" si="16"/>
        <v>-802500</v>
      </c>
      <c r="AP96" s="131">
        <f t="shared" si="16"/>
        <v>-412000</v>
      </c>
      <c r="AQ96" s="131">
        <f t="shared" si="16"/>
        <v>-44750</v>
      </c>
      <c r="AR96" s="131">
        <f t="shared" si="16"/>
        <v>-27750</v>
      </c>
      <c r="AS96" s="131">
        <f t="shared" si="16"/>
        <v>490500</v>
      </c>
      <c r="AT96" s="131">
        <f t="shared" si="16"/>
        <v>152050</v>
      </c>
      <c r="AU96" s="131">
        <f t="shared" si="16"/>
        <v>-139900</v>
      </c>
      <c r="AV96" s="131">
        <f t="shared" si="16"/>
        <v>253450</v>
      </c>
      <c r="AW96" s="131">
        <f t="shared" si="16"/>
        <v>-179050</v>
      </c>
      <c r="AX96" s="131">
        <f t="shared" si="16"/>
        <v>105950</v>
      </c>
      <c r="AY96" s="131">
        <f t="shared" si="16"/>
        <v>-352400</v>
      </c>
      <c r="AZ96" s="131">
        <f t="shared" si="16"/>
        <v>930250</v>
      </c>
      <c r="BA96" s="131">
        <f t="shared" si="16"/>
        <v>-1013850</v>
      </c>
      <c r="BB96" s="131">
        <f t="shared" si="16"/>
        <v>-361150</v>
      </c>
      <c r="BC96" s="131">
        <f t="shared" si="16"/>
        <v>-349950</v>
      </c>
      <c r="BD96" s="131">
        <f t="shared" si="16"/>
        <v>-602150</v>
      </c>
      <c r="BE96" s="131">
        <f t="shared" si="16"/>
        <v>-422850</v>
      </c>
      <c r="BF96" s="131">
        <f t="shared" si="16"/>
        <v>-618550</v>
      </c>
      <c r="BG96" s="131">
        <f t="shared" si="16"/>
        <v>-469250</v>
      </c>
      <c r="BH96" s="131">
        <f t="shared" si="16"/>
        <v>-157050</v>
      </c>
      <c r="BI96" s="131">
        <f t="shared" si="16"/>
        <v>257550</v>
      </c>
      <c r="BJ96" s="131">
        <f t="shared" si="16"/>
        <v>828750</v>
      </c>
      <c r="BK96" s="131">
        <f t="shared" si="16"/>
        <v>685750</v>
      </c>
      <c r="BL96" s="131">
        <f t="shared" si="16"/>
        <v>-423150</v>
      </c>
      <c r="BM96" s="131">
        <f t="shared" si="16"/>
        <v>-262750</v>
      </c>
      <c r="BN96" s="131">
        <f t="shared" ref="BN96:DY96" si="17">BN95-BN94</f>
        <v>195350</v>
      </c>
      <c r="BO96" s="131">
        <f t="shared" si="17"/>
        <v>-475100</v>
      </c>
      <c r="BP96" s="131">
        <f t="shared" si="17"/>
        <v>-462050</v>
      </c>
      <c r="BQ96" s="131">
        <f t="shared" si="17"/>
        <v>314000</v>
      </c>
      <c r="BR96" s="131">
        <f t="shared" si="17"/>
        <v>-186450</v>
      </c>
      <c r="BS96" s="131">
        <f t="shared" si="17"/>
        <v>282700</v>
      </c>
      <c r="BT96" s="131">
        <f t="shared" si="17"/>
        <v>916700</v>
      </c>
      <c r="BU96" s="131">
        <f t="shared" si="17"/>
        <v>269400</v>
      </c>
      <c r="BV96" s="131">
        <f t="shared" si="17"/>
        <v>-253800</v>
      </c>
      <c r="BW96" s="131">
        <f t="shared" si="17"/>
        <v>-476950</v>
      </c>
      <c r="BX96" s="131">
        <f t="shared" si="17"/>
        <v>-449550</v>
      </c>
      <c r="BY96" s="131">
        <f t="shared" si="17"/>
        <v>-291000</v>
      </c>
      <c r="BZ96" s="131">
        <f t="shared" si="17"/>
        <v>-159150</v>
      </c>
      <c r="CA96" s="131">
        <f t="shared" si="17"/>
        <v>-147900</v>
      </c>
      <c r="CB96" s="131">
        <f t="shared" si="17"/>
        <v>223350</v>
      </c>
      <c r="CC96" s="131">
        <f t="shared" si="17"/>
        <v>791300</v>
      </c>
      <c r="CD96" s="131">
        <f t="shared" si="17"/>
        <v>-8800</v>
      </c>
      <c r="CE96" s="131">
        <f t="shared" si="17"/>
        <v>-114950</v>
      </c>
      <c r="CF96" s="131">
        <f t="shared" si="17"/>
        <v>-262850</v>
      </c>
      <c r="CG96" s="131">
        <f t="shared" si="17"/>
        <v>-519850</v>
      </c>
      <c r="CH96" s="131">
        <f t="shared" si="17"/>
        <v>-387050</v>
      </c>
      <c r="CI96" s="131">
        <f t="shared" si="17"/>
        <v>299200</v>
      </c>
      <c r="CJ96" s="131">
        <f t="shared" si="17"/>
        <v>-310600</v>
      </c>
      <c r="CK96" s="131">
        <f t="shared" si="17"/>
        <v>547050</v>
      </c>
      <c r="CL96" s="131">
        <f t="shared" si="17"/>
        <v>343150</v>
      </c>
      <c r="CM96" s="131">
        <f t="shared" si="17"/>
        <v>-230050</v>
      </c>
      <c r="CN96" s="131">
        <f t="shared" si="17"/>
        <v>69750</v>
      </c>
      <c r="CO96" s="131">
        <f t="shared" si="17"/>
        <v>-296700</v>
      </c>
      <c r="CP96" s="131">
        <f t="shared" si="17"/>
        <v>-376050</v>
      </c>
      <c r="CQ96" s="131">
        <f t="shared" si="17"/>
        <v>-73600</v>
      </c>
      <c r="CR96" s="131">
        <f t="shared" si="17"/>
        <v>165850</v>
      </c>
      <c r="CS96" s="131">
        <f t="shared" si="17"/>
        <v>93650</v>
      </c>
      <c r="CT96" s="131">
        <f t="shared" si="17"/>
        <v>272100</v>
      </c>
      <c r="CU96" s="131">
        <f t="shared" si="17"/>
        <v>468100</v>
      </c>
      <c r="CV96" s="131">
        <f t="shared" si="17"/>
        <v>-8100</v>
      </c>
      <c r="CW96" s="131">
        <f t="shared" si="17"/>
        <v>-160350</v>
      </c>
      <c r="CX96" s="131">
        <f t="shared" si="17"/>
        <v>-211600</v>
      </c>
      <c r="CY96" s="131">
        <f t="shared" si="17"/>
        <v>-186900</v>
      </c>
      <c r="CZ96" s="131">
        <f t="shared" si="17"/>
        <v>-64650</v>
      </c>
      <c r="DA96" s="131">
        <f t="shared" si="17"/>
        <v>336750</v>
      </c>
      <c r="DB96" s="131">
        <f t="shared" si="17"/>
        <v>-190500</v>
      </c>
      <c r="DC96" s="131">
        <f t="shared" si="17"/>
        <v>278500</v>
      </c>
      <c r="DD96" s="131">
        <f t="shared" si="17"/>
        <v>120750</v>
      </c>
      <c r="DE96" s="131">
        <f t="shared" si="17"/>
        <v>-103000</v>
      </c>
      <c r="DF96" s="131">
        <f t="shared" si="17"/>
        <v>-224800</v>
      </c>
      <c r="DG96" s="131">
        <f t="shared" si="17"/>
        <v>-180350</v>
      </c>
      <c r="DH96" s="131">
        <f t="shared" si="17"/>
        <v>-222950</v>
      </c>
      <c r="DI96" s="131">
        <f t="shared" si="17"/>
        <v>-300350</v>
      </c>
      <c r="DJ96" s="131">
        <f t="shared" si="17"/>
        <v>-123200</v>
      </c>
      <c r="DK96" s="131">
        <f t="shared" si="17"/>
        <v>112950</v>
      </c>
      <c r="DL96" s="131">
        <f t="shared" si="17"/>
        <v>4300</v>
      </c>
      <c r="DM96" s="131">
        <f t="shared" si="17"/>
        <v>564900</v>
      </c>
      <c r="DN96" s="131">
        <f t="shared" si="17"/>
        <v>18000</v>
      </c>
      <c r="DO96" s="131">
        <f t="shared" si="17"/>
        <v>-226850</v>
      </c>
      <c r="DP96" s="131">
        <f t="shared" si="17"/>
        <v>-239000</v>
      </c>
      <c r="DQ96" s="131">
        <f t="shared" si="17"/>
        <v>-467600</v>
      </c>
      <c r="DR96" s="131">
        <f t="shared" si="17"/>
        <v>178850</v>
      </c>
      <c r="DS96" s="131">
        <f t="shared" si="17"/>
        <v>164000</v>
      </c>
      <c r="DT96" s="131">
        <f t="shared" si="17"/>
        <v>-233600</v>
      </c>
      <c r="DU96" s="131">
        <f t="shared" si="17"/>
        <v>1277250</v>
      </c>
      <c r="DV96" s="131">
        <f t="shared" si="17"/>
        <v>516500</v>
      </c>
      <c r="DW96" s="131">
        <f t="shared" si="17"/>
        <v>-132700</v>
      </c>
      <c r="DX96" s="131">
        <f t="shared" si="17"/>
        <v>-522300</v>
      </c>
      <c r="DY96" s="131">
        <f t="shared" si="17"/>
        <v>-511250</v>
      </c>
      <c r="DZ96" s="131">
        <f t="shared" ref="DZ96:GK96" si="18">DZ95-DZ94</f>
        <v>-516050</v>
      </c>
      <c r="EA96" s="131">
        <f t="shared" si="18"/>
        <v>-228050</v>
      </c>
      <c r="EB96" s="131">
        <f t="shared" si="18"/>
        <v>231650</v>
      </c>
      <c r="EC96" s="131">
        <f t="shared" si="18"/>
        <v>67000</v>
      </c>
      <c r="ED96" s="131">
        <f t="shared" si="18"/>
        <v>-305700</v>
      </c>
      <c r="EE96" s="131">
        <f t="shared" si="18"/>
        <v>532200</v>
      </c>
      <c r="EF96" s="131">
        <f t="shared" si="18"/>
        <v>-227950</v>
      </c>
      <c r="EG96" s="131">
        <f t="shared" si="18"/>
        <v>489650</v>
      </c>
      <c r="EH96" s="131">
        <f t="shared" si="18"/>
        <v>157950</v>
      </c>
      <c r="EI96" s="131">
        <f t="shared" si="18"/>
        <v>-606050</v>
      </c>
      <c r="EJ96" s="131">
        <f t="shared" si="18"/>
        <v>-281250</v>
      </c>
      <c r="EK96" s="131">
        <f t="shared" si="18"/>
        <v>683650</v>
      </c>
      <c r="EL96" s="131">
        <f t="shared" si="18"/>
        <v>-14350</v>
      </c>
      <c r="EM96" s="131">
        <f t="shared" si="18"/>
        <v>479650</v>
      </c>
      <c r="EN96" s="131">
        <f t="shared" si="18"/>
        <v>899000</v>
      </c>
      <c r="EO96" s="131">
        <f t="shared" si="18"/>
        <v>-211450</v>
      </c>
      <c r="EP96" s="131">
        <f t="shared" si="18"/>
        <v>-624550</v>
      </c>
      <c r="EQ96" s="131">
        <f t="shared" si="18"/>
        <v>-4500</v>
      </c>
      <c r="ER96" s="131">
        <f t="shared" si="18"/>
        <v>-252800</v>
      </c>
      <c r="ES96" s="131">
        <f t="shared" si="18"/>
        <v>-181250</v>
      </c>
      <c r="ET96" s="131">
        <f t="shared" si="18"/>
        <v>-286750</v>
      </c>
      <c r="EU96" s="131">
        <f t="shared" si="18"/>
        <v>430100</v>
      </c>
      <c r="EV96" s="131">
        <f t="shared" si="18"/>
        <v>831700</v>
      </c>
      <c r="EW96" s="131">
        <f t="shared" si="18"/>
        <v>484150</v>
      </c>
      <c r="EX96" s="131">
        <f t="shared" si="18"/>
        <v>-375150</v>
      </c>
      <c r="EY96" s="131">
        <f t="shared" si="18"/>
        <v>366850</v>
      </c>
      <c r="EZ96" s="131">
        <f t="shared" si="18"/>
        <v>-391350</v>
      </c>
      <c r="FA96" s="131">
        <f t="shared" si="18"/>
        <v>672850</v>
      </c>
      <c r="FB96" s="131">
        <f t="shared" si="18"/>
        <v>-235900</v>
      </c>
      <c r="FC96" s="131">
        <f t="shared" si="18"/>
        <v>1372150</v>
      </c>
      <c r="FD96" s="131">
        <f t="shared" si="18"/>
        <v>222150</v>
      </c>
      <c r="FE96" s="131">
        <f t="shared" si="18"/>
        <v>698400</v>
      </c>
      <c r="FF96" s="131">
        <f t="shared" si="18"/>
        <v>777200</v>
      </c>
      <c r="FG96" s="131">
        <f t="shared" si="18"/>
        <v>-336100</v>
      </c>
      <c r="FH96" s="131">
        <f t="shared" si="18"/>
        <v>-419400</v>
      </c>
      <c r="FI96" s="131">
        <f t="shared" si="18"/>
        <v>-181200</v>
      </c>
      <c r="FJ96" s="131">
        <f t="shared" si="18"/>
        <v>-418250</v>
      </c>
      <c r="FK96" s="131">
        <f t="shared" si="18"/>
        <v>-561350</v>
      </c>
      <c r="FL96" s="131">
        <f t="shared" si="18"/>
        <v>-237850</v>
      </c>
      <c r="FM96" s="131">
        <f t="shared" si="18"/>
        <v>-115000</v>
      </c>
      <c r="FN96" s="131">
        <f t="shared" si="18"/>
        <v>1072800</v>
      </c>
      <c r="FO96" s="131">
        <f t="shared" si="18"/>
        <v>487050</v>
      </c>
      <c r="FP96" s="131">
        <f t="shared" si="18"/>
        <v>-278650</v>
      </c>
      <c r="FQ96" s="131">
        <f t="shared" si="18"/>
        <v>344600</v>
      </c>
      <c r="FR96" s="131">
        <f t="shared" si="18"/>
        <v>-457250</v>
      </c>
      <c r="FS96" s="131">
        <f t="shared" si="18"/>
        <v>-288500</v>
      </c>
      <c r="FT96" s="131">
        <f t="shared" si="18"/>
        <v>-101800</v>
      </c>
      <c r="FU96" s="131">
        <f t="shared" si="18"/>
        <v>484150</v>
      </c>
      <c r="FV96" s="131">
        <f t="shared" si="18"/>
        <v>-389200</v>
      </c>
      <c r="FW96" s="131">
        <f t="shared" si="18"/>
        <v>485450</v>
      </c>
      <c r="FX96" s="131">
        <f t="shared" si="18"/>
        <v>852000</v>
      </c>
      <c r="FY96" s="131">
        <f t="shared" si="18"/>
        <v>-657250</v>
      </c>
      <c r="FZ96" s="131">
        <f t="shared" si="18"/>
        <v>-408500</v>
      </c>
      <c r="GA96" s="131">
        <f t="shared" si="18"/>
        <v>-650000</v>
      </c>
      <c r="GB96" s="131">
        <f t="shared" si="18"/>
        <v>-860800</v>
      </c>
      <c r="GC96" s="131">
        <f t="shared" si="18"/>
        <v>-549050</v>
      </c>
      <c r="GD96" s="131">
        <f t="shared" si="18"/>
        <v>-181850</v>
      </c>
      <c r="GE96" s="131">
        <f t="shared" si="18"/>
        <v>339100</v>
      </c>
      <c r="GF96" s="131">
        <f t="shared" si="18"/>
        <v>728500</v>
      </c>
      <c r="GG96" s="131">
        <f t="shared" si="18"/>
        <v>-177950</v>
      </c>
      <c r="GH96" s="131">
        <f t="shared" si="18"/>
        <v>-302050</v>
      </c>
      <c r="GI96" s="131">
        <f t="shared" si="18"/>
        <v>-136800</v>
      </c>
      <c r="GJ96" s="131">
        <f t="shared" si="18"/>
        <v>-467450</v>
      </c>
      <c r="GK96" s="131">
        <f t="shared" si="18"/>
        <v>-389500</v>
      </c>
      <c r="GL96" s="131">
        <f t="shared" ref="GL96:HE96" si="19">GL95-GL94</f>
        <v>-271750</v>
      </c>
      <c r="GM96" s="131">
        <f t="shared" si="19"/>
        <v>445800</v>
      </c>
      <c r="GN96" s="131">
        <f t="shared" si="19"/>
        <v>226400</v>
      </c>
      <c r="GO96" s="131">
        <f t="shared" si="19"/>
        <v>1243300</v>
      </c>
      <c r="GP96" s="131">
        <f t="shared" si="19"/>
        <v>730150</v>
      </c>
      <c r="GQ96" s="131">
        <f t="shared" si="19"/>
        <v>-705300</v>
      </c>
      <c r="GR96" s="131">
        <f t="shared" si="19"/>
        <v>-318500</v>
      </c>
      <c r="GS96" s="131">
        <f t="shared" si="19"/>
        <v>-545750</v>
      </c>
      <c r="GT96" s="131">
        <f t="shared" si="19"/>
        <v>-736900</v>
      </c>
      <c r="GU96" s="131">
        <f t="shared" si="19"/>
        <v>-619450</v>
      </c>
      <c r="GV96" s="131">
        <f t="shared" si="19"/>
        <v>-433450</v>
      </c>
      <c r="GW96" s="131">
        <f t="shared" si="19"/>
        <v>667450</v>
      </c>
      <c r="GX96" s="131">
        <f t="shared" si="19"/>
        <v>227650</v>
      </c>
      <c r="GY96" s="131">
        <f t="shared" si="19"/>
        <v>66210</v>
      </c>
      <c r="GZ96" s="131">
        <f t="shared" si="19"/>
        <v>9000</v>
      </c>
      <c r="HA96" s="131">
        <f t="shared" si="19"/>
        <v>-352805</v>
      </c>
      <c r="HB96" s="131">
        <f t="shared" si="19"/>
        <v>-249100</v>
      </c>
      <c r="HC96" s="131">
        <f t="shared" si="19"/>
        <v>991450</v>
      </c>
      <c r="HD96" s="131">
        <f t="shared" si="19"/>
        <v>-171800</v>
      </c>
      <c r="HE96" s="131">
        <f t="shared" si="19"/>
        <v>613050</v>
      </c>
      <c r="HP96" s="132"/>
    </row>
    <row r="97" spans="1:224" x14ac:dyDescent="0.2">
      <c r="C97" s="12"/>
      <c r="D97" s="133">
        <f>D96+C96</f>
        <v>-423150</v>
      </c>
      <c r="E97" s="133">
        <f t="shared" ref="E97:BP97" si="20">D97+E96</f>
        <v>-611250</v>
      </c>
      <c r="F97" s="133">
        <f t="shared" si="20"/>
        <v>-1119400</v>
      </c>
      <c r="G97" s="133">
        <f t="shared" si="20"/>
        <v>-943550</v>
      </c>
      <c r="H97" s="133">
        <f t="shared" si="20"/>
        <v>-1346450</v>
      </c>
      <c r="I97" s="133">
        <f t="shared" si="20"/>
        <v>-1431050</v>
      </c>
      <c r="J97" s="133">
        <f t="shared" si="20"/>
        <v>-996350</v>
      </c>
      <c r="K97" s="133">
        <f t="shared" si="20"/>
        <v>-786650</v>
      </c>
      <c r="L97" s="133">
        <f t="shared" si="20"/>
        <v>-908000</v>
      </c>
      <c r="M97" s="133">
        <f t="shared" si="20"/>
        <v>-1078850</v>
      </c>
      <c r="N97" s="133">
        <f t="shared" si="20"/>
        <v>-1450350</v>
      </c>
      <c r="O97" s="133">
        <f t="shared" si="20"/>
        <v>-1616700</v>
      </c>
      <c r="P97" s="133">
        <f t="shared" si="20"/>
        <v>-696950</v>
      </c>
      <c r="Q97" s="133">
        <f t="shared" si="20"/>
        <v>-693500</v>
      </c>
      <c r="R97" s="133">
        <f t="shared" si="20"/>
        <v>-249050</v>
      </c>
      <c r="S97" s="133">
        <f t="shared" si="20"/>
        <v>-173750</v>
      </c>
      <c r="T97" s="133">
        <f t="shared" si="20"/>
        <v>-473250</v>
      </c>
      <c r="U97" s="133">
        <f t="shared" si="20"/>
        <v>-989000</v>
      </c>
      <c r="V97" s="133">
        <f t="shared" si="20"/>
        <v>-1520700</v>
      </c>
      <c r="W97" s="133">
        <f t="shared" si="20"/>
        <v>-1887450</v>
      </c>
      <c r="X97" s="133">
        <f t="shared" si="20"/>
        <v>-2113900</v>
      </c>
      <c r="Y97" s="133">
        <f t="shared" si="20"/>
        <v>-1760200</v>
      </c>
      <c r="Z97" s="133">
        <f t="shared" si="20"/>
        <v>-1265000</v>
      </c>
      <c r="AA97" s="133">
        <f t="shared" si="20"/>
        <v>-1426050</v>
      </c>
      <c r="AB97" s="133">
        <f t="shared" si="20"/>
        <v>-1085350</v>
      </c>
      <c r="AC97" s="133">
        <f t="shared" si="20"/>
        <v>-1596600</v>
      </c>
      <c r="AD97" s="133">
        <f t="shared" si="20"/>
        <v>-2037050</v>
      </c>
      <c r="AE97" s="133">
        <f t="shared" si="20"/>
        <v>-2486500</v>
      </c>
      <c r="AF97" s="133">
        <f t="shared" si="20"/>
        <v>-2318150</v>
      </c>
      <c r="AG97" s="133">
        <f t="shared" si="20"/>
        <v>-1287850</v>
      </c>
      <c r="AH97" s="133">
        <f t="shared" si="20"/>
        <v>-376900</v>
      </c>
      <c r="AI97" s="133">
        <f t="shared" si="20"/>
        <v>-726850</v>
      </c>
      <c r="AJ97" s="133">
        <f t="shared" si="20"/>
        <v>-734500</v>
      </c>
      <c r="AK97" s="133">
        <f t="shared" si="20"/>
        <v>-781900</v>
      </c>
      <c r="AL97" s="133">
        <f t="shared" si="20"/>
        <v>-956650</v>
      </c>
      <c r="AM97" s="133">
        <f t="shared" si="20"/>
        <v>-472550</v>
      </c>
      <c r="AN97" s="133">
        <f t="shared" si="20"/>
        <v>-1122000</v>
      </c>
      <c r="AO97" s="133">
        <f t="shared" si="20"/>
        <v>-1924500</v>
      </c>
      <c r="AP97" s="133">
        <f t="shared" si="20"/>
        <v>-2336500</v>
      </c>
      <c r="AQ97" s="133">
        <f t="shared" si="20"/>
        <v>-2381250</v>
      </c>
      <c r="AR97" s="133">
        <f t="shared" si="20"/>
        <v>-2409000</v>
      </c>
      <c r="AS97" s="133">
        <f t="shared" si="20"/>
        <v>-1918500</v>
      </c>
      <c r="AT97" s="133">
        <f t="shared" si="20"/>
        <v>-1766450</v>
      </c>
      <c r="AU97" s="133">
        <f t="shared" si="20"/>
        <v>-1906350</v>
      </c>
      <c r="AV97" s="133">
        <f t="shared" si="20"/>
        <v>-1652900</v>
      </c>
      <c r="AW97" s="133">
        <f t="shared" si="20"/>
        <v>-1831950</v>
      </c>
      <c r="AX97" s="133">
        <f t="shared" si="20"/>
        <v>-1726000</v>
      </c>
      <c r="AY97" s="133">
        <f t="shared" si="20"/>
        <v>-2078400</v>
      </c>
      <c r="AZ97" s="133">
        <f t="shared" si="20"/>
        <v>-1148150</v>
      </c>
      <c r="BA97" s="133">
        <f t="shared" si="20"/>
        <v>-2162000</v>
      </c>
      <c r="BB97" s="133">
        <f t="shared" si="20"/>
        <v>-2523150</v>
      </c>
      <c r="BC97" s="133">
        <f t="shared" si="20"/>
        <v>-2873100</v>
      </c>
      <c r="BD97" s="133">
        <f t="shared" si="20"/>
        <v>-3475250</v>
      </c>
      <c r="BE97" s="133">
        <f t="shared" si="20"/>
        <v>-3898100</v>
      </c>
      <c r="BF97" s="133">
        <f t="shared" si="20"/>
        <v>-4516650</v>
      </c>
      <c r="BG97" s="133">
        <f t="shared" si="20"/>
        <v>-4985900</v>
      </c>
      <c r="BH97" s="133">
        <f t="shared" si="20"/>
        <v>-5142950</v>
      </c>
      <c r="BI97" s="133">
        <f t="shared" si="20"/>
        <v>-4885400</v>
      </c>
      <c r="BJ97" s="133">
        <f t="shared" si="20"/>
        <v>-4056650</v>
      </c>
      <c r="BK97" s="133">
        <f t="shared" si="20"/>
        <v>-3370900</v>
      </c>
      <c r="BL97" s="133">
        <f t="shared" si="20"/>
        <v>-3794050</v>
      </c>
      <c r="BM97" s="133">
        <f t="shared" si="20"/>
        <v>-4056800</v>
      </c>
      <c r="BN97" s="133">
        <f t="shared" si="20"/>
        <v>-3861450</v>
      </c>
      <c r="BO97" s="133">
        <f t="shared" si="20"/>
        <v>-4336550</v>
      </c>
      <c r="BP97" s="133">
        <f t="shared" si="20"/>
        <v>-4798600</v>
      </c>
      <c r="BQ97" s="133">
        <f t="shared" ref="BQ97:EB97" si="21">BP97+BQ96</f>
        <v>-4484600</v>
      </c>
      <c r="BR97" s="133">
        <f t="shared" si="21"/>
        <v>-4671050</v>
      </c>
      <c r="BS97" s="133">
        <f t="shared" si="21"/>
        <v>-4388350</v>
      </c>
      <c r="BT97" s="133">
        <f t="shared" si="21"/>
        <v>-3471650</v>
      </c>
      <c r="BU97" s="133">
        <f t="shared" si="21"/>
        <v>-3202250</v>
      </c>
      <c r="BV97" s="133">
        <f t="shared" si="21"/>
        <v>-3456050</v>
      </c>
      <c r="BW97" s="133">
        <f t="shared" si="21"/>
        <v>-3933000</v>
      </c>
      <c r="BX97" s="133">
        <f t="shared" si="21"/>
        <v>-4382550</v>
      </c>
      <c r="BY97" s="133">
        <f t="shared" si="21"/>
        <v>-4673550</v>
      </c>
      <c r="BZ97" s="133">
        <f t="shared" si="21"/>
        <v>-4832700</v>
      </c>
      <c r="CA97" s="133">
        <f t="shared" si="21"/>
        <v>-4980600</v>
      </c>
      <c r="CB97" s="133">
        <f t="shared" si="21"/>
        <v>-4757250</v>
      </c>
      <c r="CC97" s="133">
        <f t="shared" si="21"/>
        <v>-3965950</v>
      </c>
      <c r="CD97" s="133">
        <f t="shared" si="21"/>
        <v>-3974750</v>
      </c>
      <c r="CE97" s="133">
        <f t="shared" si="21"/>
        <v>-4089700</v>
      </c>
      <c r="CF97" s="133">
        <f t="shared" si="21"/>
        <v>-4352550</v>
      </c>
      <c r="CG97" s="133">
        <f t="shared" si="21"/>
        <v>-4872400</v>
      </c>
      <c r="CH97" s="133">
        <f t="shared" si="21"/>
        <v>-5259450</v>
      </c>
      <c r="CI97" s="133">
        <f t="shared" si="21"/>
        <v>-4960250</v>
      </c>
      <c r="CJ97" s="133">
        <f t="shared" si="21"/>
        <v>-5270850</v>
      </c>
      <c r="CK97" s="133">
        <f t="shared" si="21"/>
        <v>-4723800</v>
      </c>
      <c r="CL97" s="133">
        <f t="shared" si="21"/>
        <v>-4380650</v>
      </c>
      <c r="CM97" s="133">
        <f t="shared" si="21"/>
        <v>-4610700</v>
      </c>
      <c r="CN97" s="133">
        <f t="shared" si="21"/>
        <v>-4540950</v>
      </c>
      <c r="CO97" s="133">
        <f t="shared" si="21"/>
        <v>-4837650</v>
      </c>
      <c r="CP97" s="133">
        <f t="shared" si="21"/>
        <v>-5213700</v>
      </c>
      <c r="CQ97" s="133">
        <f t="shared" si="21"/>
        <v>-5287300</v>
      </c>
      <c r="CR97" s="133">
        <f t="shared" si="21"/>
        <v>-5121450</v>
      </c>
      <c r="CS97" s="133">
        <f t="shared" si="21"/>
        <v>-5027800</v>
      </c>
      <c r="CT97" s="133">
        <f t="shared" si="21"/>
        <v>-4755700</v>
      </c>
      <c r="CU97" s="133">
        <f t="shared" si="21"/>
        <v>-4287600</v>
      </c>
      <c r="CV97" s="133">
        <f t="shared" si="21"/>
        <v>-4295700</v>
      </c>
      <c r="CW97" s="133">
        <f t="shared" si="21"/>
        <v>-4456050</v>
      </c>
      <c r="CX97" s="133">
        <f t="shared" si="21"/>
        <v>-4667650</v>
      </c>
      <c r="CY97" s="133">
        <f t="shared" si="21"/>
        <v>-4854550</v>
      </c>
      <c r="CZ97" s="133">
        <f t="shared" si="21"/>
        <v>-4919200</v>
      </c>
      <c r="DA97" s="133">
        <f t="shared" si="21"/>
        <v>-4582450</v>
      </c>
      <c r="DB97" s="133">
        <f t="shared" si="21"/>
        <v>-4772950</v>
      </c>
      <c r="DC97" s="133">
        <f t="shared" si="21"/>
        <v>-4494450</v>
      </c>
      <c r="DD97" s="133">
        <f t="shared" si="21"/>
        <v>-4373700</v>
      </c>
      <c r="DE97" s="133">
        <f t="shared" si="21"/>
        <v>-4476700</v>
      </c>
      <c r="DF97" s="133">
        <f t="shared" si="21"/>
        <v>-4701500</v>
      </c>
      <c r="DG97" s="133">
        <f t="shared" si="21"/>
        <v>-4881850</v>
      </c>
      <c r="DH97" s="133">
        <f t="shared" si="21"/>
        <v>-5104800</v>
      </c>
      <c r="DI97" s="133">
        <f t="shared" si="21"/>
        <v>-5405150</v>
      </c>
      <c r="DJ97" s="133">
        <f t="shared" si="21"/>
        <v>-5528350</v>
      </c>
      <c r="DK97" s="133">
        <f t="shared" si="21"/>
        <v>-5415400</v>
      </c>
      <c r="DL97" s="133">
        <f t="shared" si="21"/>
        <v>-5411100</v>
      </c>
      <c r="DM97" s="133">
        <f t="shared" si="21"/>
        <v>-4846200</v>
      </c>
      <c r="DN97" s="133">
        <f t="shared" si="21"/>
        <v>-4828200</v>
      </c>
      <c r="DO97" s="133">
        <f t="shared" si="21"/>
        <v>-5055050</v>
      </c>
      <c r="DP97" s="133">
        <f t="shared" si="21"/>
        <v>-5294050</v>
      </c>
      <c r="DQ97" s="133">
        <f t="shared" si="21"/>
        <v>-5761650</v>
      </c>
      <c r="DR97" s="133">
        <f t="shared" si="21"/>
        <v>-5582800</v>
      </c>
      <c r="DS97" s="133">
        <f t="shared" si="21"/>
        <v>-5418800</v>
      </c>
      <c r="DT97" s="133">
        <f t="shared" si="21"/>
        <v>-5652400</v>
      </c>
      <c r="DU97" s="133">
        <f t="shared" si="21"/>
        <v>-4375150</v>
      </c>
      <c r="DV97" s="133">
        <f t="shared" si="21"/>
        <v>-3858650</v>
      </c>
      <c r="DW97" s="133">
        <f t="shared" si="21"/>
        <v>-3991350</v>
      </c>
      <c r="DX97" s="133">
        <f t="shared" si="21"/>
        <v>-4513650</v>
      </c>
      <c r="DY97" s="133">
        <f t="shared" si="21"/>
        <v>-5024900</v>
      </c>
      <c r="DZ97" s="133">
        <f t="shared" si="21"/>
        <v>-5540950</v>
      </c>
      <c r="EA97" s="133">
        <f t="shared" si="21"/>
        <v>-5769000</v>
      </c>
      <c r="EB97" s="133">
        <f t="shared" si="21"/>
        <v>-5537350</v>
      </c>
      <c r="EC97" s="133">
        <f t="shared" ref="EC97:GN97" si="22">EB97+EC96</f>
        <v>-5470350</v>
      </c>
      <c r="ED97" s="133">
        <f t="shared" si="22"/>
        <v>-5776050</v>
      </c>
      <c r="EE97" s="133">
        <f t="shared" si="22"/>
        <v>-5243850</v>
      </c>
      <c r="EF97" s="133">
        <f t="shared" si="22"/>
        <v>-5471800</v>
      </c>
      <c r="EG97" s="133">
        <f t="shared" si="22"/>
        <v>-4982150</v>
      </c>
      <c r="EH97" s="133">
        <f t="shared" si="22"/>
        <v>-4824200</v>
      </c>
      <c r="EI97" s="133">
        <f t="shared" si="22"/>
        <v>-5430250</v>
      </c>
      <c r="EJ97" s="133">
        <f t="shared" si="22"/>
        <v>-5711500</v>
      </c>
      <c r="EK97" s="133">
        <f t="shared" si="22"/>
        <v>-5027850</v>
      </c>
      <c r="EL97" s="133">
        <f t="shared" si="22"/>
        <v>-5042200</v>
      </c>
      <c r="EM97" s="133">
        <f t="shared" si="22"/>
        <v>-4562550</v>
      </c>
      <c r="EN97" s="133">
        <f t="shared" si="22"/>
        <v>-3663550</v>
      </c>
      <c r="EO97" s="133">
        <f t="shared" si="22"/>
        <v>-3875000</v>
      </c>
      <c r="EP97" s="133">
        <f t="shared" si="22"/>
        <v>-4499550</v>
      </c>
      <c r="EQ97" s="133">
        <f t="shared" si="22"/>
        <v>-4504050</v>
      </c>
      <c r="ER97" s="133">
        <f t="shared" si="22"/>
        <v>-4756850</v>
      </c>
      <c r="ES97" s="133">
        <f t="shared" si="22"/>
        <v>-4938100</v>
      </c>
      <c r="ET97" s="133">
        <f t="shared" si="22"/>
        <v>-5224850</v>
      </c>
      <c r="EU97" s="133">
        <f t="shared" si="22"/>
        <v>-4794750</v>
      </c>
      <c r="EV97" s="133">
        <f t="shared" si="22"/>
        <v>-3963050</v>
      </c>
      <c r="EW97" s="133">
        <f t="shared" si="22"/>
        <v>-3478900</v>
      </c>
      <c r="EX97" s="133">
        <f t="shared" si="22"/>
        <v>-3854050</v>
      </c>
      <c r="EY97" s="133">
        <f t="shared" si="22"/>
        <v>-3487200</v>
      </c>
      <c r="EZ97" s="133">
        <f t="shared" si="22"/>
        <v>-3878550</v>
      </c>
      <c r="FA97" s="133">
        <f t="shared" si="22"/>
        <v>-3205700</v>
      </c>
      <c r="FB97" s="133">
        <f t="shared" si="22"/>
        <v>-3441600</v>
      </c>
      <c r="FC97" s="133">
        <f t="shared" si="22"/>
        <v>-2069450</v>
      </c>
      <c r="FD97" s="133">
        <f t="shared" si="22"/>
        <v>-1847300</v>
      </c>
      <c r="FE97" s="133">
        <f t="shared" si="22"/>
        <v>-1148900</v>
      </c>
      <c r="FF97" s="133">
        <f t="shared" si="22"/>
        <v>-371700</v>
      </c>
      <c r="FG97" s="133">
        <f t="shared" si="22"/>
        <v>-707800</v>
      </c>
      <c r="FH97" s="133">
        <f t="shared" si="22"/>
        <v>-1127200</v>
      </c>
      <c r="FI97" s="133">
        <f t="shared" si="22"/>
        <v>-1308400</v>
      </c>
      <c r="FJ97" s="133">
        <f t="shared" si="22"/>
        <v>-1726650</v>
      </c>
      <c r="FK97" s="133">
        <f t="shared" si="22"/>
        <v>-2288000</v>
      </c>
      <c r="FL97" s="133">
        <f t="shared" si="22"/>
        <v>-2525850</v>
      </c>
      <c r="FM97" s="133">
        <f t="shared" si="22"/>
        <v>-2640850</v>
      </c>
      <c r="FN97" s="133">
        <f t="shared" si="22"/>
        <v>-1568050</v>
      </c>
      <c r="FO97" s="133">
        <f t="shared" si="22"/>
        <v>-1081000</v>
      </c>
      <c r="FP97" s="133">
        <f t="shared" si="22"/>
        <v>-1359650</v>
      </c>
      <c r="FQ97" s="133">
        <f t="shared" si="22"/>
        <v>-1015050</v>
      </c>
      <c r="FR97" s="133">
        <f t="shared" si="22"/>
        <v>-1472300</v>
      </c>
      <c r="FS97" s="133">
        <f t="shared" si="22"/>
        <v>-1760800</v>
      </c>
      <c r="FT97" s="133">
        <f t="shared" si="22"/>
        <v>-1862600</v>
      </c>
      <c r="FU97" s="133">
        <f t="shared" si="22"/>
        <v>-1378450</v>
      </c>
      <c r="FV97" s="133">
        <f t="shared" si="22"/>
        <v>-1767650</v>
      </c>
      <c r="FW97" s="133">
        <f t="shared" si="22"/>
        <v>-1282200</v>
      </c>
      <c r="FX97" s="133">
        <f t="shared" si="22"/>
        <v>-430200</v>
      </c>
      <c r="FY97" s="133">
        <f t="shared" si="22"/>
        <v>-1087450</v>
      </c>
      <c r="FZ97" s="133">
        <f t="shared" si="22"/>
        <v>-1495950</v>
      </c>
      <c r="GA97" s="133">
        <f t="shared" si="22"/>
        <v>-2145950</v>
      </c>
      <c r="GB97" s="133">
        <f t="shared" si="22"/>
        <v>-3006750</v>
      </c>
      <c r="GC97" s="133">
        <f t="shared" si="22"/>
        <v>-3555800</v>
      </c>
      <c r="GD97" s="133">
        <f t="shared" si="22"/>
        <v>-3737650</v>
      </c>
      <c r="GE97" s="133">
        <f t="shared" si="22"/>
        <v>-3398550</v>
      </c>
      <c r="GF97" s="133">
        <f t="shared" si="22"/>
        <v>-2670050</v>
      </c>
      <c r="GG97" s="133">
        <f t="shared" si="22"/>
        <v>-2848000</v>
      </c>
      <c r="GH97" s="133">
        <f t="shared" si="22"/>
        <v>-3150050</v>
      </c>
      <c r="GI97" s="133">
        <f t="shared" si="22"/>
        <v>-3286850</v>
      </c>
      <c r="GJ97" s="133">
        <f t="shared" si="22"/>
        <v>-3754300</v>
      </c>
      <c r="GK97" s="133">
        <f t="shared" si="22"/>
        <v>-4143800</v>
      </c>
      <c r="GL97" s="133">
        <f t="shared" si="22"/>
        <v>-4415550</v>
      </c>
      <c r="GM97" s="133">
        <f t="shared" si="22"/>
        <v>-3969750</v>
      </c>
      <c r="GN97" s="133">
        <f t="shared" si="22"/>
        <v>-3743350</v>
      </c>
      <c r="GO97" s="133">
        <f t="shared" ref="GO97:HE97" si="23">GN97+GO96</f>
        <v>-2500050</v>
      </c>
      <c r="GP97" s="133">
        <f t="shared" si="23"/>
        <v>-1769900</v>
      </c>
      <c r="GQ97" s="133">
        <f t="shared" si="23"/>
        <v>-2475200</v>
      </c>
      <c r="GR97" s="133">
        <f t="shared" si="23"/>
        <v>-2793700</v>
      </c>
      <c r="GS97" s="133">
        <f t="shared" si="23"/>
        <v>-3339450</v>
      </c>
      <c r="GT97" s="133">
        <f t="shared" si="23"/>
        <v>-4076350</v>
      </c>
      <c r="GU97" s="133">
        <f t="shared" si="23"/>
        <v>-4695800</v>
      </c>
      <c r="GV97" s="133">
        <f t="shared" si="23"/>
        <v>-5129250</v>
      </c>
      <c r="GW97" s="133">
        <f t="shared" si="23"/>
        <v>-4461800</v>
      </c>
      <c r="GX97" s="133">
        <f t="shared" si="23"/>
        <v>-4234150</v>
      </c>
      <c r="GY97" s="133">
        <f t="shared" si="23"/>
        <v>-4167940</v>
      </c>
      <c r="GZ97" s="133">
        <f t="shared" si="23"/>
        <v>-4158940</v>
      </c>
      <c r="HA97" s="133">
        <f t="shared" si="23"/>
        <v>-4511745</v>
      </c>
      <c r="HB97" s="133">
        <f t="shared" si="23"/>
        <v>-4760845</v>
      </c>
      <c r="HC97" s="133">
        <f t="shared" si="23"/>
        <v>-3769395</v>
      </c>
      <c r="HD97" s="133">
        <f t="shared" si="23"/>
        <v>-3941195</v>
      </c>
      <c r="HE97" s="133">
        <f t="shared" si="23"/>
        <v>-3328145</v>
      </c>
      <c r="HP97" s="132"/>
    </row>
    <row r="98" spans="1:224" x14ac:dyDescent="0.2"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 s="12"/>
      <c r="AJ98" s="12"/>
      <c r="AK98" s="12"/>
      <c r="AL98" s="12"/>
      <c r="AM98" s="12"/>
      <c r="AN98" s="12"/>
      <c r="AO98" s="12"/>
      <c r="AP98" s="12"/>
      <c r="AQ98" s="12"/>
      <c r="AR98" s="12"/>
      <c r="AS98" s="12"/>
      <c r="AT98" s="12"/>
      <c r="AU98" s="12"/>
      <c r="AV98" s="12"/>
      <c r="AW98" s="12"/>
      <c r="AX98" s="12"/>
      <c r="AY98" s="12"/>
      <c r="AZ98" s="12"/>
      <c r="BA98" s="12"/>
      <c r="BB98" s="12"/>
      <c r="BC98" s="12"/>
      <c r="BD98" s="12"/>
      <c r="BE98" s="12"/>
      <c r="BF98" s="12"/>
      <c r="HP98" s="132"/>
    </row>
    <row r="99" spans="1:224" x14ac:dyDescent="0.2"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 s="12"/>
      <c r="AJ99" s="12"/>
      <c r="AK99" s="12"/>
      <c r="AL99" s="12"/>
      <c r="AM99" s="12"/>
      <c r="AN99" s="12"/>
      <c r="AO99" s="12"/>
      <c r="AP99" s="12"/>
      <c r="AQ99" s="12"/>
      <c r="AR99" s="12"/>
      <c r="AS99" s="12"/>
      <c r="AT99" s="12"/>
      <c r="AU99" s="12"/>
      <c r="AV99" s="12"/>
      <c r="AW99" s="12"/>
      <c r="AX99" s="12"/>
      <c r="AY99" s="12"/>
      <c r="AZ99" s="12"/>
      <c r="BA99" s="12"/>
      <c r="BB99" s="12"/>
      <c r="BC99" s="12"/>
      <c r="BD99" s="12"/>
      <c r="BE99" s="12"/>
      <c r="BF99" s="12"/>
      <c r="HP99" s="132"/>
    </row>
    <row r="100" spans="1:224" x14ac:dyDescent="0.2"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 s="12"/>
      <c r="AJ100" s="12"/>
      <c r="AK100" s="12"/>
      <c r="AL100" s="12"/>
      <c r="AM100" s="12"/>
      <c r="AN100" s="12"/>
      <c r="AO100" s="12"/>
      <c r="AP100" s="12"/>
      <c r="AQ100" s="12"/>
      <c r="AR100" s="12"/>
      <c r="AS100" s="12"/>
      <c r="AT100" s="12"/>
      <c r="AU100" s="12"/>
      <c r="AV100" s="12"/>
      <c r="AW100" s="12"/>
      <c r="AX100" s="12"/>
      <c r="AY100" s="12"/>
      <c r="AZ100" s="12"/>
      <c r="BA100" s="12"/>
      <c r="BB100" s="12"/>
      <c r="BC100" s="12"/>
      <c r="BD100" s="12"/>
      <c r="BE100" s="12"/>
      <c r="BF100" s="12"/>
      <c r="HP100" s="132"/>
    </row>
    <row r="101" spans="1:224" ht="15" x14ac:dyDescent="0.25">
      <c r="A101" s="75" t="s">
        <v>80</v>
      </c>
      <c r="B101" s="76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 s="12"/>
      <c r="AJ101" s="12"/>
      <c r="AK101" s="12"/>
      <c r="AL101" s="12"/>
      <c r="AM101" s="12"/>
      <c r="AN101" s="12"/>
      <c r="AO101" s="12"/>
      <c r="AP101" s="12"/>
      <c r="AQ101" s="12"/>
      <c r="AR101" s="12"/>
      <c r="AS101" s="12"/>
      <c r="AT101" s="12"/>
      <c r="AU101" s="12"/>
      <c r="AV101" s="12"/>
      <c r="AW101" s="12"/>
      <c r="AX101" s="12"/>
      <c r="AY101" s="12"/>
      <c r="AZ101" s="12"/>
      <c r="BA101" s="12"/>
      <c r="BB101" s="12"/>
      <c r="BC101" s="12"/>
      <c r="BD101" s="12"/>
      <c r="BE101" s="12"/>
      <c r="BF101" s="12"/>
      <c r="HP101" s="132"/>
    </row>
    <row r="102" spans="1:224" x14ac:dyDescent="0.2">
      <c r="A102" s="78" t="s">
        <v>2</v>
      </c>
      <c r="B102" s="79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 s="12"/>
      <c r="AJ102" s="12"/>
      <c r="AK102" s="12"/>
      <c r="AL102" s="12"/>
      <c r="AM102" s="12"/>
      <c r="AN102" s="12"/>
      <c r="AO102" s="12"/>
      <c r="AP102" s="12"/>
      <c r="AQ102" s="12"/>
      <c r="AR102" s="12"/>
      <c r="AS102" s="12"/>
      <c r="AT102" s="12"/>
      <c r="AU102" s="12"/>
      <c r="AV102" s="12"/>
      <c r="AW102" s="12"/>
      <c r="AX102" s="12"/>
      <c r="AY102" s="12"/>
      <c r="AZ102" s="12"/>
      <c r="BA102" s="12"/>
      <c r="BB102" s="12"/>
      <c r="BC102" s="12"/>
      <c r="BD102" s="12"/>
      <c r="BE102" s="12"/>
      <c r="BF102" s="12"/>
      <c r="HP102" s="132"/>
    </row>
    <row r="103" spans="1:224" x14ac:dyDescent="0.2">
      <c r="A103" s="78" t="s">
        <v>4</v>
      </c>
      <c r="B103" s="79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 s="12"/>
      <c r="AJ103" s="12"/>
      <c r="AK103" s="12"/>
      <c r="AL103" s="12"/>
      <c r="AM103" s="12"/>
      <c r="AN103" s="12"/>
      <c r="AO103" s="12"/>
      <c r="AP103" s="12"/>
      <c r="AQ103" s="12"/>
      <c r="AR103" s="12"/>
      <c r="AS103" s="12"/>
      <c r="AT103" s="12"/>
      <c r="AU103" s="12"/>
      <c r="AV103" s="12"/>
      <c r="AW103" s="12"/>
      <c r="AX103" s="12"/>
      <c r="AY103" s="12"/>
      <c r="AZ103" s="12"/>
      <c r="BA103" s="12"/>
      <c r="BB103" s="12"/>
      <c r="BC103" s="12"/>
      <c r="BD103" s="12"/>
      <c r="BE103" s="12"/>
      <c r="BF103" s="12"/>
      <c r="HP103" s="132"/>
    </row>
    <row r="104" spans="1:224" x14ac:dyDescent="0.2">
      <c r="A104" s="78" t="s">
        <v>6</v>
      </c>
      <c r="B104" s="86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 s="12"/>
      <c r="AJ104" s="12"/>
      <c r="AK104" s="12"/>
      <c r="AL104" s="12"/>
      <c r="AM104" s="12"/>
      <c r="AN104" s="12"/>
      <c r="AO104" s="12"/>
      <c r="AP104" s="12"/>
      <c r="AQ104" s="12"/>
      <c r="AR104" s="12"/>
      <c r="AS104" s="12"/>
      <c r="AT104" s="12"/>
      <c r="AU104" s="12"/>
      <c r="AV104" s="12"/>
      <c r="AW104" s="12"/>
      <c r="AX104" s="12"/>
      <c r="AY104" s="12"/>
      <c r="AZ104" s="12"/>
      <c r="BA104" s="12"/>
      <c r="BB104" s="12"/>
      <c r="BC104" s="12"/>
      <c r="BD104" s="12"/>
      <c r="BE104" s="12"/>
      <c r="BF104" s="12"/>
      <c r="HP104" s="132"/>
    </row>
    <row r="105" spans="1:224" x14ac:dyDescent="0.2"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 s="12"/>
      <c r="AJ105" s="12"/>
      <c r="AK105" s="12"/>
      <c r="AL105" s="12"/>
      <c r="AM105" s="12"/>
      <c r="AN105" s="12"/>
      <c r="AO105" s="12"/>
      <c r="AP105" s="12"/>
      <c r="AQ105" s="12"/>
      <c r="AR105" s="12"/>
      <c r="AS105" s="12"/>
      <c r="AT105" s="12"/>
      <c r="AU105" s="12"/>
      <c r="AV105" s="12"/>
      <c r="AW105" s="12"/>
      <c r="AX105" s="12"/>
      <c r="AY105" s="12"/>
      <c r="AZ105" s="12"/>
      <c r="BA105" s="12"/>
      <c r="BB105" s="12"/>
      <c r="BC105" s="12"/>
      <c r="BD105" s="12"/>
      <c r="BE105" s="12"/>
      <c r="BF105" s="12"/>
      <c r="HP105" s="132"/>
    </row>
    <row r="106" spans="1:224" x14ac:dyDescent="0.2"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F106" s="12"/>
      <c r="AG106" s="12"/>
      <c r="AH106" s="12"/>
      <c r="AI106" s="12"/>
      <c r="AJ106" s="12"/>
      <c r="AK106" s="12"/>
      <c r="AL106" s="12"/>
      <c r="AM106" s="12"/>
      <c r="AN106" s="12"/>
      <c r="AO106" s="12"/>
      <c r="AP106" s="12"/>
      <c r="AQ106" s="12"/>
      <c r="AR106" s="12"/>
      <c r="AS106" s="12"/>
      <c r="AT106" s="12"/>
      <c r="AU106" s="12"/>
      <c r="AV106" s="12"/>
      <c r="AW106" s="12"/>
      <c r="AX106" s="12"/>
      <c r="AY106" s="12"/>
      <c r="AZ106" s="12"/>
      <c r="BA106" s="12"/>
      <c r="BB106" s="12"/>
      <c r="BC106" s="12"/>
      <c r="BD106" s="12"/>
      <c r="BE106" s="12"/>
      <c r="BF106" s="12"/>
      <c r="HP106" s="132"/>
    </row>
    <row r="107" spans="1:224" x14ac:dyDescent="0.2"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  <c r="AF107" s="12"/>
      <c r="AG107" s="12"/>
      <c r="AH107" s="12"/>
      <c r="AI107" s="12"/>
      <c r="AJ107" s="12"/>
      <c r="AK107" s="12"/>
      <c r="AL107" s="12"/>
      <c r="AM107" s="12"/>
      <c r="AN107" s="12"/>
      <c r="AO107" s="12"/>
      <c r="AP107" s="12"/>
      <c r="AQ107" s="12"/>
      <c r="AR107" s="12"/>
      <c r="AS107" s="12"/>
      <c r="AT107" s="12"/>
      <c r="AU107" s="12"/>
      <c r="AV107" s="12"/>
      <c r="AW107" s="12"/>
      <c r="AX107" s="12"/>
      <c r="AY107" s="12"/>
      <c r="AZ107" s="12"/>
      <c r="BA107" s="12"/>
      <c r="BB107" s="12"/>
      <c r="BC107" s="12"/>
      <c r="BD107" s="12"/>
      <c r="BE107" s="12"/>
      <c r="BF107" s="12"/>
      <c r="HP107" s="132"/>
    </row>
    <row r="108" spans="1:224" x14ac:dyDescent="0.2"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  <c r="AA108" s="12"/>
      <c r="AB108" s="12"/>
      <c r="AC108" s="12"/>
      <c r="AD108" s="12"/>
      <c r="AE108" s="12"/>
      <c r="AF108" s="12"/>
      <c r="AG108" s="12"/>
      <c r="AH108" s="12"/>
      <c r="AI108" s="12"/>
      <c r="AJ108" s="12"/>
      <c r="AK108" s="12"/>
      <c r="AL108" s="12"/>
      <c r="AM108" s="12"/>
      <c r="AN108" s="12"/>
      <c r="AO108" s="12"/>
      <c r="AP108" s="12"/>
      <c r="AQ108" s="12"/>
      <c r="AR108" s="12"/>
      <c r="AS108" s="12"/>
      <c r="AT108" s="12"/>
      <c r="AU108" s="12"/>
      <c r="AV108" s="12"/>
      <c r="AW108" s="12"/>
      <c r="AX108" s="12"/>
      <c r="AY108" s="12"/>
      <c r="AZ108" s="12"/>
      <c r="BA108" s="12"/>
      <c r="BB108" s="12"/>
      <c r="BC108" s="12"/>
      <c r="BD108" s="12"/>
      <c r="BE108" s="12"/>
      <c r="BF108" s="12"/>
      <c r="HP108" s="132"/>
    </row>
    <row r="109" spans="1:224" x14ac:dyDescent="0.2"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 s="12"/>
      <c r="AI109" s="12"/>
      <c r="AJ109" s="12"/>
      <c r="AK109" s="12"/>
      <c r="AL109" s="12"/>
      <c r="AM109" s="12"/>
      <c r="AN109" s="12"/>
      <c r="AO109" s="12"/>
      <c r="AP109" s="12"/>
      <c r="AQ109" s="12"/>
      <c r="AR109" s="12"/>
      <c r="AS109" s="12"/>
      <c r="AT109" s="12"/>
      <c r="AU109" s="12"/>
      <c r="AV109" s="12"/>
      <c r="AW109" s="12"/>
      <c r="AX109" s="12"/>
      <c r="AY109" s="12"/>
      <c r="AZ109" s="12"/>
      <c r="BA109" s="12"/>
      <c r="BB109" s="12"/>
      <c r="BC109" s="12"/>
      <c r="BD109" s="12"/>
      <c r="BE109" s="12"/>
      <c r="BF109" s="12"/>
      <c r="HP109" s="132"/>
    </row>
    <row r="110" spans="1:224" x14ac:dyDescent="0.2"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 s="12"/>
      <c r="AJ110" s="12"/>
      <c r="AK110" s="12"/>
      <c r="AL110" s="12"/>
      <c r="AM110" s="12"/>
      <c r="AN110" s="12"/>
      <c r="AO110" s="12"/>
      <c r="AP110" s="12"/>
      <c r="AQ110" s="12"/>
      <c r="AR110" s="12"/>
      <c r="AS110" s="12"/>
      <c r="AT110" s="12"/>
      <c r="AU110" s="12"/>
      <c r="AV110" s="12"/>
      <c r="AW110" s="12"/>
      <c r="AX110" s="12"/>
      <c r="AY110" s="12"/>
      <c r="AZ110" s="12"/>
      <c r="BA110" s="12"/>
      <c r="BB110" s="12"/>
      <c r="BC110" s="12"/>
      <c r="BD110" s="12"/>
      <c r="BE110" s="12"/>
      <c r="BF110" s="12"/>
      <c r="HP110" s="132"/>
    </row>
    <row r="111" spans="1:224" x14ac:dyDescent="0.2"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  <c r="AA111" s="12"/>
      <c r="AB111" s="12"/>
      <c r="AC111" s="12"/>
      <c r="AD111" s="12"/>
      <c r="AE111" s="12"/>
      <c r="AF111" s="12"/>
      <c r="AG111" s="12"/>
      <c r="AH111" s="12"/>
      <c r="AI111" s="12"/>
      <c r="AJ111" s="12"/>
      <c r="AK111" s="12"/>
      <c r="AL111" s="12"/>
      <c r="AM111" s="12"/>
      <c r="AN111" s="12"/>
      <c r="AO111" s="12"/>
      <c r="AP111" s="12"/>
      <c r="AQ111" s="12"/>
      <c r="AR111" s="12"/>
      <c r="AS111" s="12"/>
      <c r="AT111" s="12"/>
      <c r="AU111" s="12"/>
      <c r="AV111" s="12"/>
      <c r="AW111" s="12"/>
      <c r="AX111" s="12"/>
      <c r="AY111" s="12"/>
      <c r="AZ111" s="12"/>
      <c r="BA111" s="12"/>
      <c r="BB111" s="12"/>
      <c r="BC111" s="12"/>
      <c r="BD111" s="12"/>
      <c r="BE111" s="12"/>
      <c r="BF111" s="12"/>
      <c r="HP111" s="132"/>
    </row>
    <row r="112" spans="1:224" x14ac:dyDescent="0.2"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  <c r="AA112" s="12"/>
      <c r="AB112" s="12"/>
      <c r="AC112" s="12"/>
      <c r="AD112" s="12"/>
      <c r="AE112" s="12"/>
      <c r="AF112" s="12"/>
      <c r="AG112" s="12"/>
      <c r="AH112" s="12"/>
      <c r="AI112" s="12"/>
      <c r="AJ112" s="12"/>
      <c r="AK112" s="12"/>
      <c r="AL112" s="12"/>
      <c r="AM112" s="12"/>
      <c r="AN112" s="12"/>
      <c r="AO112" s="12"/>
      <c r="AP112" s="12"/>
      <c r="AQ112" s="12"/>
      <c r="AR112" s="12"/>
      <c r="AS112" s="12"/>
      <c r="AT112" s="12"/>
      <c r="AU112" s="12"/>
      <c r="AV112" s="12"/>
      <c r="AW112" s="12"/>
      <c r="AX112" s="12"/>
      <c r="AY112" s="12"/>
      <c r="AZ112" s="12"/>
      <c r="BA112" s="12"/>
      <c r="BB112" s="12"/>
      <c r="BC112" s="12"/>
      <c r="BD112" s="12"/>
      <c r="BE112" s="12"/>
      <c r="BF112" s="12"/>
      <c r="HP112" s="132"/>
    </row>
    <row r="113" spans="3:224" x14ac:dyDescent="0.2"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  <c r="AA113" s="12"/>
      <c r="AB113" s="12"/>
      <c r="AC113" s="12"/>
      <c r="AD113" s="12"/>
      <c r="AE113" s="12"/>
      <c r="AF113" s="12"/>
      <c r="AG113" s="12"/>
      <c r="AH113" s="12"/>
      <c r="AI113" s="12"/>
      <c r="AJ113" s="12"/>
      <c r="AK113" s="12"/>
      <c r="AL113" s="12"/>
      <c r="AM113" s="12"/>
      <c r="AN113" s="12"/>
      <c r="AO113" s="12"/>
      <c r="AP113" s="12"/>
      <c r="AQ113" s="12"/>
      <c r="AR113" s="12"/>
      <c r="AS113" s="12"/>
      <c r="AT113" s="12"/>
      <c r="AU113" s="12"/>
      <c r="AV113" s="12"/>
      <c r="AW113" s="12"/>
      <c r="AX113" s="12"/>
      <c r="AY113" s="12"/>
      <c r="AZ113" s="12"/>
      <c r="BA113" s="12"/>
      <c r="BB113" s="12"/>
      <c r="BC113" s="12"/>
      <c r="BD113" s="12"/>
      <c r="BE113" s="12"/>
      <c r="BF113" s="12"/>
      <c r="HP113" s="132"/>
    </row>
    <row r="114" spans="3:224" x14ac:dyDescent="0.2"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 s="12"/>
      <c r="AI114" s="12"/>
      <c r="AJ114" s="12"/>
      <c r="AK114" s="12"/>
      <c r="AL114" s="12"/>
      <c r="AM114" s="12"/>
      <c r="AN114" s="12"/>
      <c r="AO114" s="12"/>
      <c r="AP114" s="12"/>
      <c r="AQ114" s="12"/>
      <c r="AR114" s="12"/>
      <c r="AS114" s="12"/>
      <c r="AT114" s="12"/>
      <c r="AU114" s="12"/>
      <c r="AV114" s="12"/>
      <c r="AW114" s="12"/>
      <c r="AX114" s="12"/>
      <c r="AY114" s="12"/>
      <c r="AZ114" s="12"/>
      <c r="BA114" s="12"/>
      <c r="BB114" s="12"/>
      <c r="BC114" s="12"/>
      <c r="BD114" s="12"/>
      <c r="BE114" s="12"/>
      <c r="BF114" s="12"/>
      <c r="HP114" s="132"/>
    </row>
    <row r="115" spans="3:224" x14ac:dyDescent="0.2"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 s="12"/>
      <c r="AJ115" s="12"/>
      <c r="AK115" s="12"/>
      <c r="AL115" s="12"/>
      <c r="AM115" s="12"/>
      <c r="AN115" s="12"/>
      <c r="AO115" s="12"/>
      <c r="AP115" s="12"/>
      <c r="AQ115" s="12"/>
      <c r="AR115" s="12"/>
      <c r="AS115" s="12"/>
      <c r="AT115" s="12"/>
      <c r="AU115" s="12"/>
      <c r="AV115" s="12"/>
      <c r="AW115" s="12"/>
      <c r="AX115" s="12"/>
      <c r="AY115" s="12"/>
      <c r="AZ115" s="12"/>
      <c r="BA115" s="12"/>
      <c r="BB115" s="12"/>
      <c r="BC115" s="12"/>
      <c r="BD115" s="12"/>
      <c r="BE115" s="12"/>
      <c r="BF115" s="12"/>
      <c r="HP115" s="132"/>
    </row>
    <row r="116" spans="3:224" x14ac:dyDescent="0.2"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F116" s="12"/>
      <c r="AG116" s="12"/>
      <c r="AH116" s="12"/>
      <c r="AI116" s="12"/>
      <c r="AJ116" s="12"/>
      <c r="AK116" s="12"/>
      <c r="AL116" s="12"/>
      <c r="AM116" s="12"/>
      <c r="AN116" s="12"/>
      <c r="AO116" s="12"/>
      <c r="AP116" s="12"/>
      <c r="AQ116" s="12"/>
      <c r="AR116" s="12"/>
      <c r="AS116" s="12"/>
      <c r="AT116" s="12"/>
      <c r="AU116" s="12"/>
      <c r="AV116" s="12"/>
      <c r="AW116" s="12"/>
      <c r="AX116" s="12"/>
      <c r="AY116" s="12"/>
      <c r="AZ116" s="12"/>
      <c r="BA116" s="12"/>
      <c r="BB116" s="12"/>
      <c r="BC116" s="12"/>
      <c r="BD116" s="12"/>
      <c r="BE116" s="12"/>
      <c r="BF116" s="12"/>
      <c r="HP116" s="132"/>
    </row>
    <row r="117" spans="3:224" x14ac:dyDescent="0.2"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 s="12"/>
      <c r="AJ117" s="12"/>
      <c r="AK117" s="12"/>
      <c r="AL117" s="12"/>
      <c r="AM117" s="12"/>
      <c r="AN117" s="12"/>
      <c r="AO117" s="12"/>
      <c r="AP117" s="12"/>
      <c r="AQ117" s="12"/>
      <c r="AR117" s="12"/>
      <c r="AS117" s="12"/>
      <c r="AT117" s="12"/>
      <c r="AU117" s="12"/>
      <c r="AV117" s="12"/>
      <c r="AW117" s="12"/>
      <c r="AX117" s="12"/>
      <c r="AY117" s="12"/>
      <c r="AZ117" s="12"/>
      <c r="BA117" s="12"/>
      <c r="BB117" s="12"/>
      <c r="BC117" s="12"/>
      <c r="BD117" s="12"/>
      <c r="BE117" s="12"/>
      <c r="BF117" s="12"/>
      <c r="HP117" s="132"/>
    </row>
    <row r="118" spans="3:224" x14ac:dyDescent="0.2"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 s="12"/>
      <c r="AJ118" s="12"/>
      <c r="AK118" s="12"/>
      <c r="AL118" s="12"/>
      <c r="AM118" s="12"/>
      <c r="AN118" s="12"/>
      <c r="AO118" s="12"/>
      <c r="AP118" s="12"/>
      <c r="AQ118" s="12"/>
      <c r="AR118" s="12"/>
      <c r="AS118" s="12"/>
      <c r="AT118" s="12"/>
      <c r="AU118" s="12"/>
      <c r="AV118" s="12"/>
      <c r="AW118" s="12"/>
      <c r="AX118" s="12"/>
      <c r="AY118" s="12"/>
      <c r="AZ118" s="12"/>
      <c r="BA118" s="12"/>
      <c r="BB118" s="12"/>
      <c r="BC118" s="12"/>
      <c r="BD118" s="12"/>
      <c r="BE118" s="12"/>
      <c r="BF118" s="12"/>
      <c r="HP118" s="132"/>
    </row>
    <row r="119" spans="3:224" x14ac:dyDescent="0.2"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 s="12"/>
      <c r="AJ119" s="12"/>
      <c r="AK119" s="12"/>
      <c r="AL119" s="12"/>
      <c r="AM119" s="12"/>
      <c r="AN119" s="12"/>
      <c r="AO119" s="12"/>
      <c r="AP119" s="12"/>
      <c r="AQ119" s="12"/>
      <c r="AR119" s="12"/>
      <c r="AS119" s="12"/>
      <c r="AT119" s="12"/>
      <c r="AU119" s="12"/>
      <c r="AV119" s="12"/>
      <c r="AW119" s="12"/>
      <c r="AX119" s="12"/>
      <c r="AY119" s="12"/>
      <c r="AZ119" s="12"/>
      <c r="BA119" s="12"/>
      <c r="BB119" s="12"/>
      <c r="BC119" s="12"/>
      <c r="BD119" s="12"/>
      <c r="BE119" s="12"/>
      <c r="BF119" s="12"/>
      <c r="HP119" s="132"/>
    </row>
    <row r="120" spans="3:224" x14ac:dyDescent="0.2"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F120" s="12"/>
      <c r="AG120" s="12"/>
      <c r="AH120" s="12"/>
      <c r="AI120" s="12"/>
      <c r="AJ120" s="12"/>
      <c r="AK120" s="12"/>
      <c r="AL120" s="12"/>
      <c r="AM120" s="12"/>
      <c r="AN120" s="12"/>
      <c r="AO120" s="12"/>
      <c r="AP120" s="12"/>
      <c r="AQ120" s="12"/>
      <c r="AR120" s="12"/>
      <c r="AS120" s="12"/>
      <c r="AT120" s="12"/>
      <c r="AU120" s="12"/>
      <c r="AV120" s="12"/>
      <c r="AW120" s="12"/>
      <c r="AX120" s="12"/>
      <c r="AY120" s="12"/>
      <c r="AZ120" s="12"/>
      <c r="BA120" s="12"/>
      <c r="BB120" s="12"/>
      <c r="BC120" s="12"/>
      <c r="BD120" s="12"/>
      <c r="BE120" s="12"/>
      <c r="BF120" s="12"/>
      <c r="HP120" s="132"/>
    </row>
    <row r="121" spans="3:224" x14ac:dyDescent="0.2"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 s="12"/>
      <c r="AJ121" s="12"/>
      <c r="AK121" s="12"/>
      <c r="AL121" s="12"/>
      <c r="AM121" s="12"/>
      <c r="AN121" s="12"/>
      <c r="AO121" s="12"/>
      <c r="AP121" s="12"/>
      <c r="AQ121" s="12"/>
      <c r="AR121" s="12"/>
      <c r="AS121" s="12"/>
      <c r="AT121" s="12"/>
      <c r="AU121" s="12"/>
      <c r="AV121" s="12"/>
      <c r="AW121" s="12"/>
      <c r="AX121" s="12"/>
      <c r="AY121" s="12"/>
      <c r="AZ121" s="12"/>
      <c r="BA121" s="12"/>
      <c r="BB121" s="12"/>
      <c r="BC121" s="12"/>
      <c r="BD121" s="12"/>
      <c r="BE121" s="12"/>
      <c r="BF121" s="12"/>
      <c r="HP121" s="132"/>
    </row>
    <row r="122" spans="3:224" x14ac:dyDescent="0.2"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 s="12"/>
      <c r="AJ122" s="12"/>
      <c r="AK122" s="12"/>
      <c r="AL122" s="12"/>
      <c r="AM122" s="12"/>
      <c r="AN122" s="12"/>
      <c r="AO122" s="12"/>
      <c r="AP122" s="12"/>
      <c r="AQ122" s="12"/>
      <c r="AR122" s="12"/>
      <c r="AS122" s="12"/>
      <c r="AT122" s="12"/>
      <c r="AU122" s="12"/>
      <c r="AV122" s="12"/>
      <c r="AW122" s="12"/>
      <c r="AX122" s="12"/>
      <c r="AY122" s="12"/>
      <c r="AZ122" s="12"/>
      <c r="BA122" s="12"/>
      <c r="BB122" s="12"/>
      <c r="BC122" s="12"/>
      <c r="BD122" s="12"/>
      <c r="BE122" s="12"/>
      <c r="BF122" s="12"/>
      <c r="HP122" s="132"/>
    </row>
    <row r="123" spans="3:224" x14ac:dyDescent="0.2"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 s="12"/>
      <c r="AG123" s="12"/>
      <c r="AH123" s="12"/>
      <c r="AI123" s="12"/>
      <c r="AJ123" s="12"/>
      <c r="AK123" s="12"/>
      <c r="AL123" s="12"/>
      <c r="AM123" s="12"/>
      <c r="AN123" s="12"/>
      <c r="AO123" s="12"/>
      <c r="AP123" s="12"/>
      <c r="AQ123" s="12"/>
      <c r="AR123" s="12"/>
      <c r="AS123" s="12"/>
      <c r="AT123" s="12"/>
      <c r="AU123" s="12"/>
      <c r="AV123" s="12"/>
      <c r="AW123" s="12"/>
      <c r="AX123" s="12"/>
      <c r="AY123" s="12"/>
      <c r="AZ123" s="12"/>
      <c r="BA123" s="12"/>
      <c r="BB123" s="12"/>
      <c r="BC123" s="12"/>
      <c r="BD123" s="12"/>
      <c r="BE123" s="12"/>
      <c r="BF123" s="12"/>
      <c r="HP123" s="132"/>
    </row>
    <row r="124" spans="3:224" x14ac:dyDescent="0.2"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F124" s="12"/>
      <c r="AG124" s="12"/>
      <c r="AH124" s="12"/>
      <c r="AI124" s="12"/>
      <c r="AJ124" s="12"/>
      <c r="AK124" s="12"/>
      <c r="AL124" s="12"/>
      <c r="AM124" s="12"/>
      <c r="AN124" s="12"/>
      <c r="AO124" s="12"/>
      <c r="AP124" s="12"/>
      <c r="AQ124" s="12"/>
      <c r="AR124" s="12"/>
      <c r="AS124" s="12"/>
      <c r="AT124" s="12"/>
      <c r="AU124" s="12"/>
      <c r="AV124" s="12"/>
      <c r="AW124" s="12"/>
      <c r="AX124" s="12"/>
      <c r="AY124" s="12"/>
      <c r="AZ124" s="12"/>
      <c r="BA124" s="12"/>
      <c r="BB124" s="12"/>
      <c r="BC124" s="12"/>
      <c r="BD124" s="12"/>
      <c r="BE124" s="12"/>
      <c r="BF124" s="12"/>
      <c r="HP124" s="132"/>
    </row>
    <row r="125" spans="3:224" x14ac:dyDescent="0.2"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 s="12"/>
      <c r="AJ125" s="12"/>
      <c r="AK125" s="12"/>
      <c r="AL125" s="12"/>
      <c r="AM125" s="12"/>
      <c r="AN125" s="12"/>
      <c r="AO125" s="12"/>
      <c r="AP125" s="12"/>
      <c r="AQ125" s="12"/>
      <c r="AR125" s="12"/>
      <c r="AS125" s="12"/>
      <c r="AT125" s="12"/>
      <c r="AU125" s="12"/>
      <c r="AV125" s="12"/>
      <c r="AW125" s="12"/>
      <c r="AX125" s="12"/>
      <c r="AY125" s="12"/>
      <c r="AZ125" s="12"/>
      <c r="BA125" s="12"/>
      <c r="BB125" s="12"/>
      <c r="BC125" s="12"/>
      <c r="BD125" s="12"/>
      <c r="BE125" s="12"/>
      <c r="BF125" s="12"/>
      <c r="HP125" s="132"/>
    </row>
    <row r="126" spans="3:224" x14ac:dyDescent="0.2"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F126" s="12"/>
      <c r="AG126" s="12"/>
      <c r="AH126" s="12"/>
      <c r="AI126" s="12"/>
      <c r="AJ126" s="12"/>
      <c r="AK126" s="12"/>
      <c r="AL126" s="12"/>
      <c r="AM126" s="12"/>
      <c r="AN126" s="12"/>
      <c r="AO126" s="12"/>
      <c r="AP126" s="12"/>
      <c r="AQ126" s="12"/>
      <c r="AR126" s="12"/>
      <c r="AS126" s="12"/>
      <c r="AT126" s="12"/>
      <c r="AU126" s="12"/>
      <c r="AV126" s="12"/>
      <c r="AW126" s="12"/>
      <c r="AX126" s="12"/>
      <c r="AY126" s="12"/>
      <c r="AZ126" s="12"/>
      <c r="BA126" s="12"/>
      <c r="BB126" s="12"/>
      <c r="BC126" s="12"/>
      <c r="BD126" s="12"/>
      <c r="BE126" s="12"/>
      <c r="BF126" s="12"/>
      <c r="HP126" s="132"/>
    </row>
    <row r="127" spans="3:224" x14ac:dyDescent="0.2"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 s="12"/>
      <c r="AJ127" s="12"/>
      <c r="AK127" s="12"/>
      <c r="AL127" s="12"/>
      <c r="AM127" s="12"/>
      <c r="AN127" s="12"/>
      <c r="AO127" s="12"/>
      <c r="AP127" s="12"/>
      <c r="AQ127" s="12"/>
      <c r="AR127" s="12"/>
      <c r="AS127" s="12"/>
      <c r="AT127" s="12"/>
      <c r="AU127" s="12"/>
      <c r="AV127" s="12"/>
      <c r="AW127" s="12"/>
      <c r="AX127" s="12"/>
      <c r="AY127" s="12"/>
      <c r="AZ127" s="12"/>
      <c r="BA127" s="12"/>
      <c r="BB127" s="12"/>
      <c r="BC127" s="12"/>
      <c r="BD127" s="12"/>
      <c r="BE127" s="12"/>
      <c r="BF127" s="12"/>
      <c r="HP127" s="132"/>
    </row>
    <row r="128" spans="3:224" x14ac:dyDescent="0.2"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F128" s="12"/>
      <c r="AG128" s="12"/>
      <c r="AH128" s="12"/>
      <c r="AI128" s="12"/>
      <c r="AJ128" s="12"/>
      <c r="AK128" s="12"/>
      <c r="AL128" s="12"/>
      <c r="AM128" s="12"/>
      <c r="AN128" s="12"/>
      <c r="AO128" s="12"/>
      <c r="AP128" s="12"/>
      <c r="AQ128" s="12"/>
      <c r="AR128" s="12"/>
      <c r="AS128" s="12"/>
      <c r="AT128" s="12"/>
      <c r="AU128" s="12"/>
      <c r="AV128" s="12"/>
      <c r="AW128" s="12"/>
      <c r="AX128" s="12"/>
      <c r="AY128" s="12"/>
      <c r="AZ128" s="12"/>
      <c r="BA128" s="12"/>
      <c r="BB128" s="12"/>
      <c r="BC128" s="12"/>
      <c r="BD128" s="12"/>
      <c r="BE128" s="12"/>
      <c r="BF128" s="12"/>
      <c r="HP128" s="132"/>
    </row>
    <row r="129" spans="3:224" x14ac:dyDescent="0.2"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F129" s="12"/>
      <c r="AG129" s="12"/>
      <c r="AH129" s="12"/>
      <c r="AI129" s="12"/>
      <c r="AJ129" s="12"/>
      <c r="AK129" s="12"/>
      <c r="AL129" s="12"/>
      <c r="AM129" s="12"/>
      <c r="AN129" s="12"/>
      <c r="AO129" s="12"/>
      <c r="AP129" s="12"/>
      <c r="AQ129" s="12"/>
      <c r="AR129" s="12"/>
      <c r="AS129" s="12"/>
      <c r="AT129" s="12"/>
      <c r="AU129" s="12"/>
      <c r="AV129" s="12"/>
      <c r="AW129" s="12"/>
      <c r="AX129" s="12"/>
      <c r="AY129" s="12"/>
      <c r="AZ129" s="12"/>
      <c r="BA129" s="12"/>
      <c r="BB129" s="12"/>
      <c r="BC129" s="12"/>
      <c r="BD129" s="12"/>
      <c r="BE129" s="12"/>
      <c r="BF129" s="12"/>
      <c r="HP129" s="132"/>
    </row>
    <row r="130" spans="3:224" x14ac:dyDescent="0.2"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 s="12"/>
      <c r="AJ130" s="12"/>
      <c r="AK130" s="12"/>
      <c r="AL130" s="12"/>
      <c r="AM130" s="12"/>
      <c r="AN130" s="12"/>
      <c r="AO130" s="12"/>
      <c r="AP130" s="12"/>
      <c r="AQ130" s="12"/>
      <c r="AR130" s="12"/>
      <c r="AS130" s="12"/>
      <c r="AT130" s="12"/>
      <c r="AU130" s="12"/>
      <c r="AV130" s="12"/>
      <c r="AW130" s="12"/>
      <c r="AX130" s="12"/>
      <c r="AY130" s="12"/>
      <c r="AZ130" s="12"/>
      <c r="BA130" s="12"/>
      <c r="BB130" s="12"/>
      <c r="BC130" s="12"/>
      <c r="BD130" s="12"/>
      <c r="BE130" s="12"/>
      <c r="BF130" s="12"/>
      <c r="HP130" s="132"/>
    </row>
    <row r="131" spans="3:224" x14ac:dyDescent="0.2">
      <c r="C131" s="12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F131" s="12"/>
      <c r="AG131" s="12"/>
      <c r="AH131" s="12"/>
      <c r="AI131" s="12"/>
      <c r="AJ131" s="12"/>
      <c r="AK131" s="12"/>
      <c r="AL131" s="12"/>
      <c r="AM131" s="12"/>
      <c r="AN131" s="12"/>
      <c r="AO131" s="12"/>
      <c r="AP131" s="12"/>
      <c r="AQ131" s="12"/>
      <c r="AR131" s="12"/>
      <c r="AS131" s="12"/>
      <c r="AT131" s="12"/>
      <c r="AU131" s="12"/>
      <c r="AV131" s="12"/>
      <c r="AW131" s="12"/>
      <c r="AX131" s="12"/>
      <c r="AY131" s="12"/>
      <c r="AZ131" s="12"/>
      <c r="BA131" s="12"/>
      <c r="BB131" s="12"/>
      <c r="BC131" s="12"/>
      <c r="BD131" s="12"/>
      <c r="BE131" s="12"/>
      <c r="BF131" s="12"/>
      <c r="HP131" s="132"/>
    </row>
    <row r="132" spans="3:224" x14ac:dyDescent="0.2"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 s="12"/>
      <c r="AJ132" s="12"/>
      <c r="AK132" s="12"/>
      <c r="AL132" s="12"/>
      <c r="AM132" s="12"/>
      <c r="AN132" s="12"/>
      <c r="AO132" s="12"/>
      <c r="AP132" s="12"/>
      <c r="AQ132" s="12"/>
      <c r="AR132" s="12"/>
      <c r="AS132" s="12"/>
      <c r="AT132" s="12"/>
      <c r="AU132" s="12"/>
      <c r="AV132" s="12"/>
      <c r="AW132" s="12"/>
      <c r="AX132" s="12"/>
      <c r="AY132" s="12"/>
      <c r="AZ132" s="12"/>
      <c r="BA132" s="12"/>
      <c r="BB132" s="12"/>
      <c r="BC132" s="12"/>
      <c r="BD132" s="12"/>
      <c r="BE132" s="12"/>
      <c r="BF132" s="12"/>
      <c r="HP132" s="132"/>
    </row>
    <row r="133" spans="3:224" x14ac:dyDescent="0.2"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F133" s="12"/>
      <c r="AG133" s="12"/>
      <c r="AH133" s="12"/>
      <c r="AI133" s="12"/>
      <c r="AJ133" s="12"/>
      <c r="AK133" s="12"/>
      <c r="AL133" s="12"/>
      <c r="AM133" s="12"/>
      <c r="AN133" s="12"/>
      <c r="AO133" s="12"/>
      <c r="AP133" s="12"/>
      <c r="AQ133" s="12"/>
      <c r="AR133" s="12"/>
      <c r="AS133" s="12"/>
      <c r="AT133" s="12"/>
      <c r="AU133" s="12"/>
      <c r="AV133" s="12"/>
      <c r="AW133" s="12"/>
      <c r="AX133" s="12"/>
      <c r="AY133" s="12"/>
      <c r="AZ133" s="12"/>
      <c r="BA133" s="12"/>
      <c r="BB133" s="12"/>
      <c r="BC133" s="12"/>
      <c r="BD133" s="12"/>
      <c r="BE133" s="12"/>
      <c r="BF133" s="12"/>
      <c r="HP133" s="132"/>
    </row>
    <row r="134" spans="3:224" x14ac:dyDescent="0.2"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/>
      <c r="AG134" s="12"/>
      <c r="AH134" s="12"/>
      <c r="AI134" s="12"/>
      <c r="AJ134" s="12"/>
      <c r="AK134" s="12"/>
      <c r="AL134" s="12"/>
      <c r="AM134" s="12"/>
      <c r="AN134" s="12"/>
      <c r="AO134" s="12"/>
      <c r="AP134" s="12"/>
      <c r="AQ134" s="12"/>
      <c r="AR134" s="12"/>
      <c r="AS134" s="12"/>
      <c r="AT134" s="12"/>
      <c r="AU134" s="12"/>
      <c r="AV134" s="12"/>
      <c r="AW134" s="12"/>
      <c r="AX134" s="12"/>
      <c r="AY134" s="12"/>
      <c r="AZ134" s="12"/>
      <c r="BA134" s="12"/>
      <c r="BB134" s="12"/>
      <c r="BC134" s="12"/>
      <c r="BD134" s="12"/>
      <c r="BE134" s="12"/>
      <c r="BF134" s="12"/>
      <c r="HP134" s="132"/>
    </row>
    <row r="135" spans="3:224" x14ac:dyDescent="0.2">
      <c r="C135" s="12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F135" s="12"/>
      <c r="AG135" s="12"/>
      <c r="AH135" s="12"/>
      <c r="AI135" s="12"/>
      <c r="AJ135" s="12"/>
      <c r="AK135" s="12"/>
      <c r="AL135" s="12"/>
      <c r="AM135" s="12"/>
      <c r="AN135" s="12"/>
      <c r="AO135" s="12"/>
      <c r="AP135" s="12"/>
      <c r="AQ135" s="12"/>
      <c r="AR135" s="12"/>
      <c r="AS135" s="12"/>
      <c r="AT135" s="12"/>
      <c r="AU135" s="12"/>
      <c r="AV135" s="12"/>
      <c r="AW135" s="12"/>
      <c r="AX135" s="12"/>
      <c r="AY135" s="12"/>
      <c r="AZ135" s="12"/>
      <c r="BA135" s="12"/>
      <c r="BB135" s="12"/>
      <c r="BC135" s="12"/>
      <c r="BD135" s="12"/>
      <c r="BE135" s="12"/>
      <c r="BF135" s="12"/>
      <c r="HP135" s="132"/>
    </row>
    <row r="136" spans="3:224" x14ac:dyDescent="0.2"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 s="12"/>
      <c r="AI136" s="12"/>
      <c r="AJ136" s="12"/>
      <c r="AK136" s="12"/>
      <c r="AL136" s="12"/>
      <c r="AM136" s="12"/>
      <c r="AN136" s="12"/>
      <c r="AO136" s="12"/>
      <c r="AP136" s="12"/>
      <c r="AQ136" s="12"/>
      <c r="AR136" s="12"/>
      <c r="AS136" s="12"/>
      <c r="AT136" s="12"/>
      <c r="AU136" s="12"/>
      <c r="AV136" s="12"/>
      <c r="AW136" s="12"/>
      <c r="AX136" s="12"/>
      <c r="AY136" s="12"/>
      <c r="AZ136" s="12"/>
      <c r="BA136" s="12"/>
      <c r="BB136" s="12"/>
      <c r="BC136" s="12"/>
      <c r="BD136" s="12"/>
      <c r="BE136" s="12"/>
      <c r="BF136" s="12"/>
      <c r="HP136" s="132"/>
    </row>
    <row r="137" spans="3:224" x14ac:dyDescent="0.2"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 s="12"/>
      <c r="AJ137" s="12"/>
      <c r="AK137" s="12"/>
      <c r="AL137" s="12"/>
      <c r="AM137" s="12"/>
      <c r="AN137" s="12"/>
      <c r="AO137" s="12"/>
      <c r="AP137" s="12"/>
      <c r="AQ137" s="12"/>
      <c r="AR137" s="12"/>
      <c r="AS137" s="12"/>
      <c r="AT137" s="12"/>
      <c r="AU137" s="12"/>
      <c r="AV137" s="12"/>
      <c r="AW137" s="12"/>
      <c r="AX137" s="12"/>
      <c r="AY137" s="12"/>
      <c r="AZ137" s="12"/>
      <c r="BA137" s="12"/>
      <c r="BB137" s="12"/>
      <c r="BC137" s="12"/>
      <c r="BD137" s="12"/>
      <c r="BE137" s="12"/>
      <c r="BF137" s="12"/>
      <c r="HP137" s="132"/>
    </row>
    <row r="138" spans="3:224" x14ac:dyDescent="0.2">
      <c r="C138" s="12"/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F138" s="12"/>
      <c r="AG138" s="12"/>
      <c r="AH138" s="12"/>
      <c r="AI138" s="12"/>
      <c r="AJ138" s="12"/>
      <c r="AK138" s="12"/>
      <c r="AL138" s="12"/>
      <c r="AM138" s="12"/>
      <c r="AN138" s="12"/>
      <c r="AO138" s="12"/>
      <c r="AP138" s="12"/>
      <c r="AQ138" s="12"/>
      <c r="AR138" s="12"/>
      <c r="AS138" s="12"/>
      <c r="AT138" s="12"/>
      <c r="AU138" s="12"/>
      <c r="AV138" s="12"/>
      <c r="AW138" s="12"/>
      <c r="AX138" s="12"/>
      <c r="AY138" s="12"/>
      <c r="AZ138" s="12"/>
      <c r="BA138" s="12"/>
      <c r="BB138" s="12"/>
      <c r="BC138" s="12"/>
      <c r="BD138" s="12"/>
      <c r="BE138" s="12"/>
      <c r="BF138" s="12"/>
      <c r="HP138" s="132"/>
    </row>
    <row r="139" spans="3:224" x14ac:dyDescent="0.2">
      <c r="C139" s="12"/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 s="12"/>
      <c r="AJ139" s="12"/>
      <c r="AK139" s="12"/>
      <c r="AL139" s="12"/>
      <c r="AM139" s="12"/>
      <c r="AN139" s="12"/>
      <c r="AO139" s="12"/>
      <c r="AP139" s="12"/>
      <c r="AQ139" s="12"/>
      <c r="AR139" s="12"/>
      <c r="AS139" s="12"/>
      <c r="AT139" s="12"/>
      <c r="AU139" s="12"/>
      <c r="AV139" s="12"/>
      <c r="AW139" s="12"/>
      <c r="AX139" s="12"/>
      <c r="AY139" s="12"/>
      <c r="AZ139" s="12"/>
      <c r="BA139" s="12"/>
      <c r="BB139" s="12"/>
      <c r="BC139" s="12"/>
      <c r="BD139" s="12"/>
      <c r="BE139" s="12"/>
      <c r="BF139" s="12"/>
      <c r="HP139" s="132"/>
    </row>
    <row r="140" spans="3:224" x14ac:dyDescent="0.2">
      <c r="C140" s="12"/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 s="12"/>
      <c r="AI140" s="12"/>
      <c r="AJ140" s="12"/>
      <c r="AK140" s="12"/>
      <c r="AL140" s="12"/>
      <c r="AM140" s="12"/>
      <c r="AN140" s="12"/>
      <c r="AO140" s="12"/>
      <c r="AP140" s="12"/>
      <c r="AQ140" s="12"/>
      <c r="AR140" s="12"/>
      <c r="AS140" s="12"/>
      <c r="AT140" s="12"/>
      <c r="AU140" s="12"/>
      <c r="AV140" s="12"/>
      <c r="AW140" s="12"/>
      <c r="AX140" s="12"/>
      <c r="AY140" s="12"/>
      <c r="AZ140" s="12"/>
      <c r="BA140" s="12"/>
      <c r="BB140" s="12"/>
      <c r="BC140" s="12"/>
      <c r="BD140" s="12"/>
      <c r="BE140" s="12"/>
      <c r="BF140" s="12"/>
      <c r="HP140" s="132"/>
    </row>
    <row r="141" spans="3:224" x14ac:dyDescent="0.2">
      <c r="C141" s="12"/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 s="12"/>
      <c r="AJ141" s="12"/>
      <c r="AK141" s="12"/>
      <c r="AL141" s="12"/>
      <c r="AM141" s="12"/>
      <c r="AN141" s="12"/>
      <c r="AO141" s="12"/>
      <c r="AP141" s="12"/>
      <c r="AQ141" s="12"/>
      <c r="AR141" s="12"/>
      <c r="AS141" s="12"/>
      <c r="AT141" s="12"/>
      <c r="AU141" s="12"/>
      <c r="AV141" s="12"/>
      <c r="AW141" s="12"/>
      <c r="AX141" s="12"/>
      <c r="AY141" s="12"/>
      <c r="AZ141" s="12"/>
      <c r="BA141" s="12"/>
      <c r="BB141" s="12"/>
      <c r="BC141" s="12"/>
      <c r="BD141" s="12"/>
      <c r="BE141" s="12"/>
      <c r="BF141" s="12"/>
      <c r="HP141" s="132"/>
    </row>
    <row r="142" spans="3:224" x14ac:dyDescent="0.2">
      <c r="C142" s="12"/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 s="12"/>
      <c r="AJ142" s="12"/>
      <c r="AK142" s="12"/>
      <c r="AL142" s="12"/>
      <c r="AM142" s="12"/>
      <c r="AN142" s="12"/>
      <c r="AO142" s="12"/>
      <c r="AP142" s="12"/>
      <c r="AQ142" s="12"/>
      <c r="AR142" s="12"/>
      <c r="AS142" s="12"/>
      <c r="AT142" s="12"/>
      <c r="AU142" s="12"/>
      <c r="AV142" s="12"/>
      <c r="AW142" s="12"/>
      <c r="AX142" s="12"/>
      <c r="AY142" s="12"/>
      <c r="AZ142" s="12"/>
      <c r="BA142" s="12"/>
      <c r="BB142" s="12"/>
      <c r="BC142" s="12"/>
      <c r="BD142" s="12"/>
      <c r="BE142" s="12"/>
      <c r="BF142" s="12"/>
      <c r="HP142" s="132"/>
    </row>
    <row r="143" spans="3:224" x14ac:dyDescent="0.2">
      <c r="C143" s="12"/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F143" s="12"/>
      <c r="AG143" s="12"/>
      <c r="AH143" s="12"/>
      <c r="AI143" s="12"/>
      <c r="AJ143" s="12"/>
      <c r="AK143" s="12"/>
      <c r="AL143" s="12"/>
      <c r="AM143" s="12"/>
      <c r="AN143" s="12"/>
      <c r="AO143" s="12"/>
      <c r="AP143" s="12"/>
      <c r="AQ143" s="12"/>
      <c r="AR143" s="12"/>
      <c r="AS143" s="12"/>
      <c r="AT143" s="12"/>
      <c r="AU143" s="12"/>
      <c r="AV143" s="12"/>
      <c r="AW143" s="12"/>
      <c r="AX143" s="12"/>
      <c r="AY143" s="12"/>
      <c r="AZ143" s="12"/>
      <c r="BA143" s="12"/>
      <c r="BB143" s="12"/>
      <c r="BC143" s="12"/>
      <c r="BD143" s="12"/>
      <c r="BE143" s="12"/>
      <c r="BF143" s="12"/>
      <c r="HP143" s="132"/>
    </row>
    <row r="144" spans="3:224" x14ac:dyDescent="0.2"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F144" s="12"/>
      <c r="AG144" s="12"/>
      <c r="AH144" s="12"/>
      <c r="AI144" s="12"/>
      <c r="AJ144" s="12"/>
      <c r="AK144" s="12"/>
      <c r="AL144" s="12"/>
      <c r="AM144" s="12"/>
      <c r="AN144" s="12"/>
      <c r="AO144" s="12"/>
      <c r="AP144" s="12"/>
      <c r="AQ144" s="12"/>
      <c r="AR144" s="12"/>
      <c r="AS144" s="12"/>
      <c r="AT144" s="12"/>
      <c r="AU144" s="12"/>
      <c r="AV144" s="12"/>
      <c r="AW144" s="12"/>
      <c r="AX144" s="12"/>
      <c r="AY144" s="12"/>
      <c r="AZ144" s="12"/>
      <c r="BA144" s="12"/>
      <c r="BB144" s="12"/>
      <c r="BC144" s="12"/>
      <c r="BD144" s="12"/>
      <c r="BE144" s="12"/>
      <c r="BF144" s="12"/>
      <c r="HP144" s="132"/>
    </row>
    <row r="145" spans="3:224" x14ac:dyDescent="0.2">
      <c r="C145" s="12"/>
      <c r="D145" s="12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F145" s="12"/>
      <c r="AG145" s="12"/>
      <c r="AH145" s="12"/>
      <c r="AI145" s="12"/>
      <c r="AJ145" s="12"/>
      <c r="AK145" s="12"/>
      <c r="AL145" s="12"/>
      <c r="AM145" s="12"/>
      <c r="AN145" s="12"/>
      <c r="AO145" s="12"/>
      <c r="AP145" s="12"/>
      <c r="AQ145" s="12"/>
      <c r="AR145" s="12"/>
      <c r="AS145" s="12"/>
      <c r="AT145" s="12"/>
      <c r="AU145" s="12"/>
      <c r="AV145" s="12"/>
      <c r="AW145" s="12"/>
      <c r="AX145" s="12"/>
      <c r="AY145" s="12"/>
      <c r="AZ145" s="12"/>
      <c r="BA145" s="12"/>
      <c r="BB145" s="12"/>
      <c r="BC145" s="12"/>
      <c r="BD145" s="12"/>
      <c r="BE145" s="12"/>
      <c r="BF145" s="12"/>
      <c r="HP145" s="132"/>
    </row>
    <row r="146" spans="3:224" x14ac:dyDescent="0.2"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 s="12"/>
      <c r="AI146" s="12"/>
      <c r="AJ146" s="12"/>
      <c r="AK146" s="12"/>
      <c r="AL146" s="12"/>
      <c r="AM146" s="12"/>
      <c r="AN146" s="12"/>
      <c r="AO146" s="12"/>
      <c r="AP146" s="12"/>
      <c r="AQ146" s="12"/>
      <c r="AR146" s="12"/>
      <c r="AS146" s="12"/>
      <c r="AT146" s="12"/>
      <c r="AU146" s="12"/>
      <c r="AV146" s="12"/>
      <c r="AW146" s="12"/>
      <c r="AX146" s="12"/>
      <c r="AY146" s="12"/>
      <c r="AZ146" s="12"/>
      <c r="BA146" s="12"/>
      <c r="BB146" s="12"/>
      <c r="BC146" s="12"/>
      <c r="BD146" s="12"/>
      <c r="BE146" s="12"/>
      <c r="BF146" s="12"/>
      <c r="HP146" s="132"/>
    </row>
    <row r="147" spans="3:224" x14ac:dyDescent="0.2">
      <c r="C147" s="12"/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 s="12"/>
      <c r="AI147" s="12"/>
      <c r="AJ147" s="12"/>
      <c r="AK147" s="12"/>
      <c r="AL147" s="12"/>
      <c r="AM147" s="12"/>
      <c r="AN147" s="12"/>
      <c r="AO147" s="12"/>
      <c r="AP147" s="12"/>
      <c r="AQ147" s="12"/>
      <c r="AR147" s="12"/>
      <c r="AS147" s="12"/>
      <c r="AT147" s="12"/>
      <c r="AU147" s="12"/>
      <c r="AV147" s="12"/>
      <c r="AW147" s="12"/>
      <c r="AX147" s="12"/>
      <c r="AY147" s="12"/>
      <c r="AZ147" s="12"/>
      <c r="BA147" s="12"/>
      <c r="BB147" s="12"/>
      <c r="BC147" s="12"/>
      <c r="BD147" s="12"/>
      <c r="BE147" s="12"/>
      <c r="BF147" s="12"/>
      <c r="HP147" s="132"/>
    </row>
    <row r="148" spans="3:224" x14ac:dyDescent="0.2">
      <c r="C148" s="12"/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 s="12"/>
      <c r="AJ148" s="12"/>
      <c r="AK148" s="12"/>
      <c r="AL148" s="12"/>
      <c r="AM148" s="12"/>
      <c r="AN148" s="12"/>
      <c r="AO148" s="12"/>
      <c r="AP148" s="12"/>
      <c r="AQ148" s="12"/>
      <c r="AR148" s="12"/>
      <c r="AS148" s="12"/>
      <c r="AT148" s="12"/>
      <c r="AU148" s="12"/>
      <c r="AV148" s="12"/>
      <c r="AW148" s="12"/>
      <c r="AX148" s="12"/>
      <c r="AY148" s="12"/>
      <c r="AZ148" s="12"/>
      <c r="BA148" s="12"/>
      <c r="BB148" s="12"/>
      <c r="BC148" s="12"/>
      <c r="BD148" s="12"/>
      <c r="BE148" s="12"/>
      <c r="BF148" s="12"/>
      <c r="HP148" s="132"/>
    </row>
    <row r="149" spans="3:224" x14ac:dyDescent="0.2">
      <c r="C149" s="12"/>
      <c r="D149" s="12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F149" s="12"/>
      <c r="AG149" s="12"/>
      <c r="AH149" s="12"/>
      <c r="AI149" s="12"/>
      <c r="AJ149" s="12"/>
      <c r="AK149" s="12"/>
      <c r="AL149" s="12"/>
      <c r="AM149" s="12"/>
      <c r="AN149" s="12"/>
      <c r="AO149" s="12"/>
      <c r="AP149" s="12"/>
      <c r="AQ149" s="12"/>
      <c r="AR149" s="12"/>
      <c r="AS149" s="12"/>
      <c r="AT149" s="12"/>
      <c r="AU149" s="12"/>
      <c r="AV149" s="12"/>
      <c r="AW149" s="12"/>
      <c r="AX149" s="12"/>
      <c r="AY149" s="12"/>
      <c r="AZ149" s="12"/>
      <c r="BA149" s="12"/>
      <c r="BB149" s="12"/>
      <c r="BC149" s="12"/>
      <c r="BD149" s="12"/>
      <c r="BE149" s="12"/>
      <c r="BF149" s="12"/>
      <c r="HP149" s="132"/>
    </row>
    <row r="150" spans="3:224" x14ac:dyDescent="0.2"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F150" s="12"/>
      <c r="AG150" s="12"/>
      <c r="AH150" s="12"/>
      <c r="AI150" s="12"/>
      <c r="AJ150" s="12"/>
      <c r="AK150" s="12"/>
      <c r="AL150" s="12"/>
      <c r="AM150" s="12"/>
      <c r="AN150" s="12"/>
      <c r="AO150" s="12"/>
      <c r="AP150" s="12"/>
      <c r="AQ150" s="12"/>
      <c r="AR150" s="12"/>
      <c r="AS150" s="12"/>
      <c r="AT150" s="12"/>
      <c r="AU150" s="12"/>
      <c r="AV150" s="12"/>
      <c r="AW150" s="12"/>
      <c r="AX150" s="12"/>
      <c r="AY150" s="12"/>
      <c r="AZ150" s="12"/>
      <c r="BA150" s="12"/>
      <c r="BB150" s="12"/>
      <c r="BC150" s="12"/>
      <c r="BD150" s="12"/>
      <c r="BE150" s="12"/>
      <c r="BF150" s="12"/>
      <c r="HP150" s="132"/>
    </row>
    <row r="151" spans="3:224" x14ac:dyDescent="0.2">
      <c r="C151" s="12"/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F151" s="12"/>
      <c r="AG151" s="12"/>
      <c r="AH151" s="12"/>
      <c r="AI151" s="12"/>
      <c r="AJ151" s="12"/>
      <c r="AK151" s="12"/>
      <c r="AL151" s="12"/>
      <c r="AM151" s="12"/>
      <c r="AN151" s="12"/>
      <c r="AO151" s="12"/>
      <c r="AP151" s="12"/>
      <c r="AQ151" s="12"/>
      <c r="AR151" s="12"/>
      <c r="AS151" s="12"/>
      <c r="AT151" s="12"/>
      <c r="AU151" s="12"/>
      <c r="AV151" s="12"/>
      <c r="AW151" s="12"/>
      <c r="AX151" s="12"/>
      <c r="AY151" s="12"/>
      <c r="AZ151" s="12"/>
      <c r="BA151" s="12"/>
      <c r="BB151" s="12"/>
      <c r="BC151" s="12"/>
      <c r="BD151" s="12"/>
      <c r="BE151" s="12"/>
      <c r="BF151" s="12"/>
      <c r="HP151" s="132"/>
    </row>
    <row r="152" spans="3:224" x14ac:dyDescent="0.2"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F152" s="12"/>
      <c r="AG152" s="12"/>
      <c r="AH152" s="12"/>
      <c r="AI152" s="12"/>
      <c r="AJ152" s="12"/>
      <c r="AK152" s="12"/>
      <c r="AL152" s="12"/>
      <c r="AM152" s="12"/>
      <c r="AN152" s="12"/>
      <c r="AO152" s="12"/>
      <c r="AP152" s="12"/>
      <c r="AQ152" s="12"/>
      <c r="AR152" s="12"/>
      <c r="AS152" s="12"/>
      <c r="AT152" s="12"/>
      <c r="AU152" s="12"/>
      <c r="AV152" s="12"/>
      <c r="AW152" s="12"/>
      <c r="AX152" s="12"/>
      <c r="AY152" s="12"/>
      <c r="AZ152" s="12"/>
      <c r="BA152" s="12"/>
      <c r="BB152" s="12"/>
      <c r="BC152" s="12"/>
      <c r="BD152" s="12"/>
      <c r="BE152" s="12"/>
      <c r="BF152" s="12"/>
      <c r="HP152" s="132"/>
    </row>
    <row r="153" spans="3:224" x14ac:dyDescent="0.2">
      <c r="C153" s="12"/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 s="12"/>
      <c r="AI153" s="12"/>
      <c r="AJ153" s="12"/>
      <c r="AK153" s="12"/>
      <c r="AL153" s="12"/>
      <c r="AM153" s="12"/>
      <c r="AN153" s="12"/>
      <c r="AO153" s="12"/>
      <c r="AP153" s="12"/>
      <c r="AQ153" s="12"/>
      <c r="AR153" s="12"/>
      <c r="AS153" s="12"/>
      <c r="AT153" s="12"/>
      <c r="AU153" s="12"/>
      <c r="AV153" s="12"/>
      <c r="AW153" s="12"/>
      <c r="AX153" s="12"/>
      <c r="AY153" s="12"/>
      <c r="AZ153" s="12"/>
      <c r="BA153" s="12"/>
      <c r="BB153" s="12"/>
      <c r="BC153" s="12"/>
      <c r="BD153" s="12"/>
      <c r="BE153" s="12"/>
      <c r="BF153" s="12"/>
      <c r="HP153" s="132"/>
    </row>
    <row r="154" spans="3:224" x14ac:dyDescent="0.2">
      <c r="C154" s="12"/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 s="12"/>
      <c r="AJ154" s="12"/>
      <c r="AK154" s="12"/>
      <c r="AL154" s="12"/>
      <c r="AM154" s="12"/>
      <c r="AN154" s="12"/>
      <c r="AO154" s="12"/>
      <c r="AP154" s="12"/>
      <c r="AQ154" s="12"/>
      <c r="AR154" s="12"/>
      <c r="AS154" s="12"/>
      <c r="AT154" s="12"/>
      <c r="AU154" s="12"/>
      <c r="AV154" s="12"/>
      <c r="AW154" s="12"/>
      <c r="AX154" s="12"/>
      <c r="AY154" s="12"/>
      <c r="AZ154" s="12"/>
      <c r="BA154" s="12"/>
      <c r="BB154" s="12"/>
      <c r="BC154" s="12"/>
      <c r="BD154" s="12"/>
      <c r="BE154" s="12"/>
      <c r="BF154" s="12"/>
      <c r="HP154" s="132"/>
    </row>
    <row r="155" spans="3:224" x14ac:dyDescent="0.2"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F155" s="12"/>
      <c r="AG155" s="12"/>
      <c r="AH155" s="12"/>
      <c r="AI155" s="12"/>
      <c r="AJ155" s="12"/>
      <c r="AK155" s="12"/>
      <c r="AL155" s="12"/>
      <c r="AM155" s="12"/>
      <c r="AN155" s="12"/>
      <c r="AO155" s="12"/>
      <c r="AP155" s="12"/>
      <c r="AQ155" s="12"/>
      <c r="AR155" s="12"/>
      <c r="AS155" s="12"/>
      <c r="AT155" s="12"/>
      <c r="AU155" s="12"/>
      <c r="AV155" s="12"/>
      <c r="AW155" s="12"/>
      <c r="AX155" s="12"/>
      <c r="AY155" s="12"/>
      <c r="AZ155" s="12"/>
      <c r="BA155" s="12"/>
      <c r="BB155" s="12"/>
      <c r="BC155" s="12"/>
      <c r="BD155" s="12"/>
      <c r="BE155" s="12"/>
      <c r="BF155" s="12"/>
      <c r="HP155" s="132"/>
    </row>
    <row r="156" spans="3:224" x14ac:dyDescent="0.2">
      <c r="C156" s="12"/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F156" s="12"/>
      <c r="AG156" s="12"/>
      <c r="AH156" s="12"/>
      <c r="AI156" s="12"/>
      <c r="AJ156" s="12"/>
      <c r="AK156" s="12"/>
      <c r="AL156" s="12"/>
      <c r="AM156" s="12"/>
      <c r="AN156" s="12"/>
      <c r="AO156" s="12"/>
      <c r="AP156" s="12"/>
      <c r="AQ156" s="12"/>
      <c r="AR156" s="12"/>
      <c r="AS156" s="12"/>
      <c r="AT156" s="12"/>
      <c r="AU156" s="12"/>
      <c r="AV156" s="12"/>
      <c r="AW156" s="12"/>
      <c r="AX156" s="12"/>
      <c r="AY156" s="12"/>
      <c r="AZ156" s="12"/>
      <c r="BA156" s="12"/>
      <c r="BB156" s="12"/>
      <c r="BC156" s="12"/>
      <c r="BD156" s="12"/>
      <c r="BE156" s="12"/>
      <c r="BF156" s="12"/>
      <c r="HP156" s="132"/>
    </row>
    <row r="157" spans="3:224" x14ac:dyDescent="0.2">
      <c r="C157" s="12"/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  <c r="X157" s="12"/>
      <c r="Y157" s="12"/>
      <c r="Z157" s="12"/>
      <c r="AA157" s="12"/>
      <c r="AB157" s="12"/>
      <c r="AC157" s="12"/>
      <c r="AD157" s="12"/>
      <c r="AE157" s="12"/>
      <c r="AF157" s="12"/>
      <c r="AG157" s="12"/>
      <c r="AH157" s="12"/>
      <c r="AI157" s="12"/>
      <c r="AJ157" s="12"/>
      <c r="AK157" s="12"/>
      <c r="AL157" s="12"/>
      <c r="AM157" s="12"/>
      <c r="AN157" s="12"/>
      <c r="AO157" s="12"/>
      <c r="AP157" s="12"/>
      <c r="AQ157" s="12"/>
      <c r="AR157" s="12"/>
      <c r="AS157" s="12"/>
      <c r="AT157" s="12"/>
      <c r="AU157" s="12"/>
      <c r="AV157" s="12"/>
      <c r="AW157" s="12"/>
      <c r="AX157" s="12"/>
      <c r="AY157" s="12"/>
      <c r="AZ157" s="12"/>
      <c r="BA157" s="12"/>
      <c r="BB157" s="12"/>
      <c r="BC157" s="12"/>
      <c r="BD157" s="12"/>
      <c r="BE157" s="12"/>
      <c r="BF157" s="12"/>
      <c r="HP157" s="132"/>
    </row>
    <row r="158" spans="3:224" x14ac:dyDescent="0.2"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F158" s="12"/>
      <c r="AG158" s="12"/>
      <c r="AH158" s="12"/>
      <c r="AI158" s="12"/>
      <c r="AJ158" s="12"/>
      <c r="AK158" s="12"/>
      <c r="AL158" s="12"/>
      <c r="AM158" s="12"/>
      <c r="AN158" s="12"/>
      <c r="AO158" s="12"/>
      <c r="AP158" s="12"/>
      <c r="AQ158" s="12"/>
      <c r="AR158" s="12"/>
      <c r="AS158" s="12"/>
      <c r="AT158" s="12"/>
      <c r="AU158" s="12"/>
      <c r="AV158" s="12"/>
      <c r="AW158" s="12"/>
      <c r="AX158" s="12"/>
      <c r="AY158" s="12"/>
      <c r="AZ158" s="12"/>
      <c r="BA158" s="12"/>
      <c r="BB158" s="12"/>
      <c r="BC158" s="12"/>
      <c r="BD158" s="12"/>
      <c r="BE158" s="12"/>
      <c r="BF158" s="12"/>
      <c r="HP158" s="132"/>
    </row>
    <row r="159" spans="3:224" x14ac:dyDescent="0.2">
      <c r="C159" s="12"/>
      <c r="D159" s="12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  <c r="Z159" s="12"/>
      <c r="AA159" s="12"/>
      <c r="AB159" s="12"/>
      <c r="AC159" s="12"/>
      <c r="AD159" s="12"/>
      <c r="AE159" s="12"/>
      <c r="AF159" s="12"/>
      <c r="AG159" s="12"/>
      <c r="AH159" s="12"/>
      <c r="AI159" s="12"/>
      <c r="AJ159" s="12"/>
      <c r="AK159" s="12"/>
      <c r="AL159" s="12"/>
      <c r="AM159" s="12"/>
      <c r="AN159" s="12"/>
      <c r="AO159" s="12"/>
      <c r="AP159" s="12"/>
      <c r="AQ159" s="12"/>
      <c r="AR159" s="12"/>
      <c r="AS159" s="12"/>
      <c r="AT159" s="12"/>
      <c r="AU159" s="12"/>
      <c r="AV159" s="12"/>
      <c r="AW159" s="12"/>
      <c r="AX159" s="12"/>
      <c r="AY159" s="12"/>
      <c r="AZ159" s="12"/>
      <c r="BA159" s="12"/>
      <c r="BB159" s="12"/>
      <c r="BC159" s="12"/>
      <c r="BD159" s="12"/>
      <c r="BE159" s="12"/>
      <c r="BF159" s="12"/>
      <c r="HP159" s="132"/>
    </row>
    <row r="160" spans="3:224" x14ac:dyDescent="0.2">
      <c r="C160" s="12"/>
      <c r="D160" s="12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  <c r="X160" s="12"/>
      <c r="Y160" s="12"/>
      <c r="Z160" s="12"/>
      <c r="AA160" s="12"/>
      <c r="AB160" s="12"/>
      <c r="AC160" s="12"/>
      <c r="AD160" s="12"/>
      <c r="AE160" s="12"/>
      <c r="AF160" s="12"/>
      <c r="AG160" s="12"/>
      <c r="AH160" s="12"/>
      <c r="AI160" s="12"/>
      <c r="AJ160" s="12"/>
      <c r="AK160" s="12"/>
      <c r="AL160" s="12"/>
      <c r="AM160" s="12"/>
      <c r="AN160" s="12"/>
      <c r="AO160" s="12"/>
      <c r="AP160" s="12"/>
      <c r="AQ160" s="12"/>
      <c r="AR160" s="12"/>
      <c r="AS160" s="12"/>
      <c r="AT160" s="12"/>
      <c r="AU160" s="12"/>
      <c r="AV160" s="12"/>
      <c r="AW160" s="12"/>
      <c r="AX160" s="12"/>
      <c r="AY160" s="12"/>
      <c r="AZ160" s="12"/>
      <c r="BA160" s="12"/>
      <c r="BB160" s="12"/>
      <c r="BC160" s="12"/>
      <c r="BD160" s="12"/>
      <c r="BE160" s="12"/>
      <c r="BF160" s="12"/>
      <c r="HP160" s="132"/>
    </row>
    <row r="161" spans="3:224" x14ac:dyDescent="0.2">
      <c r="C161" s="12"/>
      <c r="D161" s="12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  <c r="AF161" s="12"/>
      <c r="AG161" s="12"/>
      <c r="AH161" s="12"/>
      <c r="AI161" s="12"/>
      <c r="AJ161" s="12"/>
      <c r="AK161" s="12"/>
      <c r="AL161" s="12"/>
      <c r="AM161" s="12"/>
      <c r="AN161" s="12"/>
      <c r="AO161" s="12"/>
      <c r="AP161" s="12"/>
      <c r="AQ161" s="12"/>
      <c r="AR161" s="12"/>
      <c r="AS161" s="12"/>
      <c r="AT161" s="12"/>
      <c r="AU161" s="12"/>
      <c r="AV161" s="12"/>
      <c r="AW161" s="12"/>
      <c r="AX161" s="12"/>
      <c r="AY161" s="12"/>
      <c r="AZ161" s="12"/>
      <c r="BA161" s="12"/>
      <c r="BB161" s="12"/>
      <c r="BC161" s="12"/>
      <c r="BD161" s="12"/>
      <c r="BE161" s="12"/>
      <c r="BF161" s="12"/>
      <c r="HP161" s="132"/>
    </row>
    <row r="162" spans="3:224" x14ac:dyDescent="0.2">
      <c r="C162" s="12"/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  <c r="AF162" s="12"/>
      <c r="AG162" s="12"/>
      <c r="AH162" s="12"/>
      <c r="AI162" s="12"/>
      <c r="AJ162" s="12"/>
      <c r="AK162" s="12"/>
      <c r="AL162" s="12"/>
      <c r="AM162" s="12"/>
      <c r="AN162" s="12"/>
      <c r="AO162" s="12"/>
      <c r="AP162" s="12"/>
      <c r="AQ162" s="12"/>
      <c r="AR162" s="12"/>
      <c r="AS162" s="12"/>
      <c r="AT162" s="12"/>
      <c r="AU162" s="12"/>
      <c r="AV162" s="12"/>
      <c r="AW162" s="12"/>
      <c r="AX162" s="12"/>
      <c r="AY162" s="12"/>
      <c r="AZ162" s="12"/>
      <c r="BA162" s="12"/>
      <c r="BB162" s="12"/>
      <c r="BC162" s="12"/>
      <c r="BD162" s="12"/>
      <c r="BE162" s="12"/>
      <c r="BF162" s="12"/>
      <c r="HP162" s="132"/>
    </row>
    <row r="163" spans="3:224" x14ac:dyDescent="0.2">
      <c r="C163" s="12"/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F163" s="12"/>
      <c r="AG163" s="12"/>
      <c r="AH163" s="12"/>
      <c r="AI163" s="12"/>
      <c r="AJ163" s="12"/>
      <c r="AK163" s="12"/>
      <c r="AL163" s="12"/>
      <c r="AM163" s="12"/>
      <c r="AN163" s="12"/>
      <c r="AO163" s="12"/>
      <c r="AP163" s="12"/>
      <c r="AQ163" s="12"/>
      <c r="AR163" s="12"/>
      <c r="AS163" s="12"/>
      <c r="AT163" s="12"/>
      <c r="AU163" s="12"/>
      <c r="AV163" s="12"/>
      <c r="AW163" s="12"/>
      <c r="AX163" s="12"/>
      <c r="AY163" s="12"/>
      <c r="AZ163" s="12"/>
      <c r="BA163" s="12"/>
      <c r="BB163" s="12"/>
      <c r="BC163" s="12"/>
      <c r="BD163" s="12"/>
      <c r="BE163" s="12"/>
      <c r="BF163" s="12"/>
      <c r="HP163" s="132"/>
    </row>
    <row r="164" spans="3:224" x14ac:dyDescent="0.2">
      <c r="C164" s="12"/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  <c r="AE164" s="12"/>
      <c r="AF164" s="12"/>
      <c r="AG164" s="12"/>
      <c r="AH164" s="12"/>
      <c r="AI164" s="12"/>
      <c r="AJ164" s="12"/>
      <c r="AK164" s="12"/>
      <c r="AL164" s="12"/>
      <c r="AM164" s="12"/>
      <c r="AN164" s="12"/>
      <c r="AO164" s="12"/>
      <c r="AP164" s="12"/>
      <c r="AQ164" s="12"/>
      <c r="AR164" s="12"/>
      <c r="AS164" s="12"/>
      <c r="AT164" s="12"/>
      <c r="AU164" s="12"/>
      <c r="AV164" s="12"/>
      <c r="AW164" s="12"/>
      <c r="AX164" s="12"/>
      <c r="AY164" s="12"/>
      <c r="AZ164" s="12"/>
      <c r="BA164" s="12"/>
      <c r="BB164" s="12"/>
      <c r="BC164" s="12"/>
      <c r="BD164" s="12"/>
      <c r="BE164" s="12"/>
      <c r="BF164" s="12"/>
      <c r="HP164" s="132"/>
    </row>
    <row r="165" spans="3:224" x14ac:dyDescent="0.2"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  <c r="AE165" s="12"/>
      <c r="AF165" s="12"/>
      <c r="AG165" s="12"/>
      <c r="AH165" s="12"/>
      <c r="AI165" s="12"/>
      <c r="AJ165" s="12"/>
      <c r="AK165" s="12"/>
      <c r="AL165" s="12"/>
      <c r="AM165" s="12"/>
      <c r="AN165" s="12"/>
      <c r="AO165" s="12"/>
      <c r="AP165" s="12"/>
      <c r="AQ165" s="12"/>
      <c r="AR165" s="12"/>
      <c r="AS165" s="12"/>
      <c r="AT165" s="12"/>
      <c r="AU165" s="12"/>
      <c r="AV165" s="12"/>
      <c r="AW165" s="12"/>
      <c r="AX165" s="12"/>
      <c r="AY165" s="12"/>
      <c r="AZ165" s="12"/>
      <c r="BA165" s="12"/>
      <c r="BB165" s="12"/>
      <c r="BC165" s="12"/>
      <c r="BD165" s="12"/>
      <c r="BE165" s="12"/>
      <c r="BF165" s="12"/>
      <c r="HP165" s="132"/>
    </row>
    <row r="166" spans="3:224" x14ac:dyDescent="0.2">
      <c r="C166" s="12"/>
      <c r="D166" s="12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2"/>
      <c r="Y166" s="12"/>
      <c r="Z166" s="12"/>
      <c r="AA166" s="12"/>
      <c r="AB166" s="12"/>
      <c r="AC166" s="12"/>
      <c r="AD166" s="12"/>
      <c r="AE166" s="12"/>
      <c r="AF166" s="12"/>
      <c r="AG166" s="12"/>
      <c r="AH166" s="12"/>
      <c r="AI166" s="12"/>
      <c r="AJ166" s="12"/>
      <c r="AK166" s="12"/>
      <c r="AL166" s="12"/>
      <c r="AM166" s="12"/>
      <c r="AN166" s="12"/>
      <c r="AO166" s="12"/>
      <c r="AP166" s="12"/>
      <c r="AQ166" s="12"/>
      <c r="AR166" s="12"/>
      <c r="AS166" s="12"/>
      <c r="AT166" s="12"/>
      <c r="AU166" s="12"/>
      <c r="AV166" s="12"/>
      <c r="AW166" s="12"/>
      <c r="AX166" s="12"/>
      <c r="AY166" s="12"/>
      <c r="AZ166" s="12"/>
      <c r="BA166" s="12"/>
      <c r="BB166" s="12"/>
      <c r="BC166" s="12"/>
      <c r="BD166" s="12"/>
      <c r="BE166" s="12"/>
      <c r="BF166" s="12"/>
      <c r="HP166" s="132"/>
    </row>
    <row r="167" spans="3:224" x14ac:dyDescent="0.2">
      <c r="C167" s="12"/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2"/>
      <c r="Z167" s="12"/>
      <c r="AA167" s="12"/>
      <c r="AB167" s="12"/>
      <c r="AC167" s="12"/>
      <c r="AD167" s="12"/>
      <c r="AE167" s="12"/>
      <c r="AF167" s="12"/>
      <c r="AG167" s="12"/>
      <c r="AH167" s="12"/>
      <c r="AI167" s="12"/>
      <c r="AJ167" s="12"/>
      <c r="AK167" s="12"/>
      <c r="AL167" s="12"/>
      <c r="AM167" s="12"/>
      <c r="AN167" s="12"/>
      <c r="AO167" s="12"/>
      <c r="AP167" s="12"/>
      <c r="AQ167" s="12"/>
      <c r="AR167" s="12"/>
      <c r="AS167" s="12"/>
      <c r="AT167" s="12"/>
      <c r="AU167" s="12"/>
      <c r="AV167" s="12"/>
      <c r="AW167" s="12"/>
      <c r="AX167" s="12"/>
      <c r="AY167" s="12"/>
      <c r="AZ167" s="12"/>
      <c r="BA167" s="12"/>
      <c r="BB167" s="12"/>
      <c r="BC167" s="12"/>
      <c r="BD167" s="12"/>
      <c r="BE167" s="12"/>
      <c r="BF167" s="12"/>
      <c r="HP167" s="132"/>
    </row>
    <row r="168" spans="3:224" x14ac:dyDescent="0.2">
      <c r="C168" s="12"/>
      <c r="D168" s="12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2"/>
      <c r="X168" s="12"/>
      <c r="Y168" s="12"/>
      <c r="Z168" s="12"/>
      <c r="AA168" s="12"/>
      <c r="AB168" s="12"/>
      <c r="AC168" s="12"/>
      <c r="AD168" s="12"/>
      <c r="AE168" s="12"/>
      <c r="AF168" s="12"/>
      <c r="AG168" s="12"/>
      <c r="AH168" s="12"/>
      <c r="AI168" s="12"/>
      <c r="AJ168" s="12"/>
      <c r="AK168" s="12"/>
      <c r="AL168" s="12"/>
      <c r="AM168" s="12"/>
      <c r="AN168" s="12"/>
      <c r="AO168" s="12"/>
      <c r="AP168" s="12"/>
      <c r="AQ168" s="12"/>
      <c r="AR168" s="12"/>
      <c r="AS168" s="12"/>
      <c r="AT168" s="12"/>
      <c r="AU168" s="12"/>
      <c r="AV168" s="12"/>
      <c r="AW168" s="12"/>
      <c r="AX168" s="12"/>
      <c r="AY168" s="12"/>
      <c r="AZ168" s="12"/>
      <c r="BA168" s="12"/>
      <c r="BB168" s="12"/>
      <c r="BC168" s="12"/>
      <c r="BD168" s="12"/>
      <c r="BE168" s="12"/>
      <c r="BF168" s="12"/>
      <c r="HP168" s="132"/>
    </row>
    <row r="169" spans="3:224" x14ac:dyDescent="0.2">
      <c r="C169" s="12"/>
      <c r="D169" s="12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  <c r="X169" s="12"/>
      <c r="Y169" s="12"/>
      <c r="Z169" s="12"/>
      <c r="AA169" s="12"/>
      <c r="AB169" s="12"/>
      <c r="AC169" s="12"/>
      <c r="AD169" s="12"/>
      <c r="AE169" s="12"/>
      <c r="AF169" s="12"/>
      <c r="AG169" s="12"/>
      <c r="AH169" s="12"/>
      <c r="AI169" s="12"/>
      <c r="AJ169" s="12"/>
      <c r="AK169" s="12"/>
      <c r="AL169" s="12"/>
      <c r="AM169" s="12"/>
      <c r="AN169" s="12"/>
      <c r="AO169" s="12"/>
      <c r="AP169" s="12"/>
      <c r="AQ169" s="12"/>
      <c r="AR169" s="12"/>
      <c r="AS169" s="12"/>
      <c r="AT169" s="12"/>
      <c r="AU169" s="12"/>
      <c r="AV169" s="12"/>
      <c r="AW169" s="12"/>
      <c r="AX169" s="12"/>
      <c r="AY169" s="12"/>
      <c r="AZ169" s="12"/>
      <c r="BA169" s="12"/>
      <c r="BB169" s="12"/>
      <c r="BC169" s="12"/>
      <c r="BD169" s="12"/>
      <c r="BE169" s="12"/>
      <c r="BF169" s="12"/>
      <c r="HP169" s="132"/>
    </row>
    <row r="170" spans="3:224" x14ac:dyDescent="0.2">
      <c r="C170" s="12"/>
      <c r="D170" s="12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  <c r="X170" s="12"/>
      <c r="Y170" s="12"/>
      <c r="Z170" s="12"/>
      <c r="AA170" s="12"/>
      <c r="AB170" s="12"/>
      <c r="AC170" s="12"/>
      <c r="AD170" s="12"/>
      <c r="AE170" s="12"/>
      <c r="AF170" s="12"/>
      <c r="AG170" s="12"/>
      <c r="AH170" s="12"/>
      <c r="AI170" s="12"/>
      <c r="AJ170" s="12"/>
      <c r="AK170" s="12"/>
      <c r="AL170" s="12"/>
      <c r="AM170" s="12"/>
      <c r="AN170" s="12"/>
      <c r="AO170" s="12"/>
      <c r="AP170" s="12"/>
      <c r="AQ170" s="12"/>
      <c r="AR170" s="12"/>
      <c r="AS170" s="12"/>
      <c r="AT170" s="12"/>
      <c r="AU170" s="12"/>
      <c r="AV170" s="12"/>
      <c r="AW170" s="12"/>
      <c r="AX170" s="12"/>
      <c r="AY170" s="12"/>
      <c r="AZ170" s="12"/>
      <c r="BA170" s="12"/>
      <c r="BB170" s="12"/>
      <c r="BC170" s="12"/>
      <c r="BD170" s="12"/>
      <c r="BE170" s="12"/>
      <c r="BF170" s="12"/>
      <c r="HP170" s="132"/>
    </row>
    <row r="171" spans="3:224" x14ac:dyDescent="0.2">
      <c r="C171" s="12"/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/>
      <c r="Z171" s="12"/>
      <c r="AA171" s="12"/>
      <c r="AB171" s="12"/>
      <c r="AC171" s="12"/>
      <c r="AD171" s="12"/>
      <c r="AE171" s="12"/>
      <c r="AF171" s="12"/>
      <c r="AG171" s="12"/>
      <c r="AH171" s="12"/>
      <c r="AI171" s="12"/>
      <c r="AJ171" s="12"/>
      <c r="AK171" s="12"/>
      <c r="AL171" s="12"/>
      <c r="AM171" s="12"/>
      <c r="AN171" s="12"/>
      <c r="AO171" s="12"/>
      <c r="AP171" s="12"/>
      <c r="AQ171" s="12"/>
      <c r="AR171" s="12"/>
      <c r="AS171" s="12"/>
      <c r="AT171" s="12"/>
      <c r="AU171" s="12"/>
      <c r="AV171" s="12"/>
      <c r="AW171" s="12"/>
      <c r="AX171" s="12"/>
      <c r="AY171" s="12"/>
      <c r="AZ171" s="12"/>
      <c r="BA171" s="12"/>
      <c r="BB171" s="12"/>
      <c r="BC171" s="12"/>
      <c r="BD171" s="12"/>
      <c r="BE171" s="12"/>
      <c r="BF171" s="12"/>
      <c r="HP171" s="132"/>
    </row>
    <row r="172" spans="3:224" x14ac:dyDescent="0.2">
      <c r="C172" s="12"/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  <c r="Y172" s="12"/>
      <c r="Z172" s="12"/>
      <c r="AA172" s="12"/>
      <c r="AB172" s="12"/>
      <c r="AC172" s="12"/>
      <c r="AD172" s="12"/>
      <c r="AE172" s="12"/>
      <c r="AF172" s="12"/>
      <c r="AG172" s="12"/>
      <c r="AH172" s="12"/>
      <c r="AI172" s="12"/>
      <c r="AJ172" s="12"/>
      <c r="AK172" s="12"/>
      <c r="AL172" s="12"/>
      <c r="AM172" s="12"/>
      <c r="AN172" s="12"/>
      <c r="AO172" s="12"/>
      <c r="AP172" s="12"/>
      <c r="AQ172" s="12"/>
      <c r="AR172" s="12"/>
      <c r="AS172" s="12"/>
      <c r="AT172" s="12"/>
      <c r="AU172" s="12"/>
      <c r="AV172" s="12"/>
      <c r="AW172" s="12"/>
      <c r="AX172" s="12"/>
      <c r="AY172" s="12"/>
      <c r="AZ172" s="12"/>
      <c r="BA172" s="12"/>
      <c r="BB172" s="12"/>
      <c r="BC172" s="12"/>
      <c r="BD172" s="12"/>
      <c r="BE172" s="12"/>
      <c r="BF172" s="12"/>
      <c r="HP172" s="132"/>
    </row>
    <row r="173" spans="3:224" x14ac:dyDescent="0.2">
      <c r="C173" s="12"/>
      <c r="D173" s="12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Y173" s="12"/>
      <c r="Z173" s="12"/>
      <c r="AA173" s="12"/>
      <c r="AB173" s="12"/>
      <c r="AC173" s="12"/>
      <c r="AD173" s="12"/>
      <c r="AE173" s="12"/>
      <c r="AF173" s="12"/>
      <c r="AG173" s="12"/>
      <c r="AH173" s="12"/>
      <c r="AI173" s="12"/>
      <c r="AJ173" s="12"/>
      <c r="AK173" s="12"/>
      <c r="AL173" s="12"/>
      <c r="AM173" s="12"/>
      <c r="AN173" s="12"/>
      <c r="AO173" s="12"/>
      <c r="AP173" s="12"/>
      <c r="AQ173" s="12"/>
      <c r="AR173" s="12"/>
      <c r="AS173" s="12"/>
      <c r="AT173" s="12"/>
      <c r="AU173" s="12"/>
      <c r="AV173" s="12"/>
      <c r="AW173" s="12"/>
      <c r="AX173" s="12"/>
      <c r="AY173" s="12"/>
      <c r="AZ173" s="12"/>
      <c r="BA173" s="12"/>
      <c r="BB173" s="12"/>
      <c r="BC173" s="12"/>
      <c r="BD173" s="12"/>
      <c r="BE173" s="12"/>
      <c r="BF173" s="12"/>
      <c r="HP173" s="132"/>
    </row>
    <row r="174" spans="3:224" x14ac:dyDescent="0.2">
      <c r="C174" s="12"/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2"/>
      <c r="Y174" s="12"/>
      <c r="Z174" s="12"/>
      <c r="AA174" s="12"/>
      <c r="AB174" s="12"/>
      <c r="AC174" s="12"/>
      <c r="AD174" s="12"/>
      <c r="AE174" s="12"/>
      <c r="AF174" s="12"/>
      <c r="AG174" s="12"/>
      <c r="AH174" s="12"/>
      <c r="AI174" s="12"/>
      <c r="AJ174" s="12"/>
      <c r="AK174" s="12"/>
      <c r="AL174" s="12"/>
      <c r="AM174" s="12"/>
      <c r="AN174" s="12"/>
      <c r="AO174" s="12"/>
      <c r="AP174" s="12"/>
      <c r="AQ174" s="12"/>
      <c r="AR174" s="12"/>
      <c r="AS174" s="12"/>
      <c r="AT174" s="12"/>
      <c r="AU174" s="12"/>
      <c r="AV174" s="12"/>
      <c r="AW174" s="12"/>
      <c r="AX174" s="12"/>
      <c r="AY174" s="12"/>
      <c r="AZ174" s="12"/>
      <c r="BA174" s="12"/>
      <c r="BB174" s="12"/>
      <c r="BC174" s="12"/>
      <c r="BD174" s="12"/>
      <c r="BE174" s="12"/>
      <c r="BF174" s="12"/>
      <c r="HP174" s="132"/>
    </row>
    <row r="175" spans="3:224" x14ac:dyDescent="0.2"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  <c r="Y175" s="12"/>
      <c r="Z175" s="12"/>
      <c r="AA175" s="12"/>
      <c r="AB175" s="12"/>
      <c r="AC175" s="12"/>
      <c r="AD175" s="12"/>
      <c r="AE175" s="12"/>
      <c r="AF175" s="12"/>
      <c r="AG175" s="12"/>
      <c r="AH175" s="12"/>
      <c r="AI175" s="12"/>
      <c r="AJ175" s="12"/>
      <c r="AK175" s="12"/>
      <c r="AL175" s="12"/>
      <c r="AM175" s="12"/>
      <c r="AN175" s="12"/>
      <c r="AO175" s="12"/>
      <c r="AP175" s="12"/>
      <c r="AQ175" s="12"/>
      <c r="AR175" s="12"/>
      <c r="AS175" s="12"/>
      <c r="AT175" s="12"/>
      <c r="AU175" s="12"/>
      <c r="AV175" s="12"/>
      <c r="AW175" s="12"/>
      <c r="AX175" s="12"/>
      <c r="AY175" s="12"/>
      <c r="AZ175" s="12"/>
      <c r="BA175" s="12"/>
      <c r="BB175" s="12"/>
      <c r="BC175" s="12"/>
      <c r="BD175" s="12"/>
      <c r="BE175" s="12"/>
      <c r="BF175" s="12"/>
      <c r="HP175" s="132"/>
    </row>
    <row r="176" spans="3:224" x14ac:dyDescent="0.2">
      <c r="C176" s="12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12"/>
      <c r="Y176" s="12"/>
      <c r="Z176" s="12"/>
      <c r="AA176" s="12"/>
      <c r="AB176" s="12"/>
      <c r="AC176" s="12"/>
      <c r="AD176" s="12"/>
      <c r="AE176" s="12"/>
      <c r="AF176" s="12"/>
      <c r="AG176" s="12"/>
      <c r="AH176" s="12"/>
      <c r="AI176" s="12"/>
      <c r="AJ176" s="12"/>
      <c r="AK176" s="12"/>
      <c r="AL176" s="12"/>
      <c r="AM176" s="12"/>
      <c r="AN176" s="12"/>
      <c r="AO176" s="12"/>
      <c r="AP176" s="12"/>
      <c r="AQ176" s="12"/>
      <c r="AR176" s="12"/>
      <c r="AS176" s="12"/>
      <c r="AT176" s="12"/>
      <c r="AU176" s="12"/>
      <c r="AV176" s="12"/>
      <c r="AW176" s="12"/>
      <c r="AX176" s="12"/>
      <c r="AY176" s="12"/>
      <c r="AZ176" s="12"/>
      <c r="BA176" s="12"/>
      <c r="BB176" s="12"/>
      <c r="BC176" s="12"/>
      <c r="BD176" s="12"/>
      <c r="BE176" s="12"/>
      <c r="BF176" s="12"/>
      <c r="HP176" s="132"/>
    </row>
    <row r="177" spans="3:224" x14ac:dyDescent="0.2">
      <c r="C177" s="12"/>
      <c r="D177" s="12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/>
      <c r="X177" s="12"/>
      <c r="Y177" s="12"/>
      <c r="Z177" s="12"/>
      <c r="AA177" s="12"/>
      <c r="AB177" s="12"/>
      <c r="AC177" s="12"/>
      <c r="AD177" s="12"/>
      <c r="AE177" s="12"/>
      <c r="AF177" s="12"/>
      <c r="AG177" s="12"/>
      <c r="AH177" s="12"/>
      <c r="AI177" s="12"/>
      <c r="AJ177" s="12"/>
      <c r="AK177" s="12"/>
      <c r="AL177" s="12"/>
      <c r="AM177" s="12"/>
      <c r="AN177" s="12"/>
      <c r="AO177" s="12"/>
      <c r="AP177" s="12"/>
      <c r="AQ177" s="12"/>
      <c r="AR177" s="12"/>
      <c r="AS177" s="12"/>
      <c r="AT177" s="12"/>
      <c r="AU177" s="12"/>
      <c r="AV177" s="12"/>
      <c r="AW177" s="12"/>
      <c r="AX177" s="12"/>
      <c r="AY177" s="12"/>
      <c r="AZ177" s="12"/>
      <c r="BA177" s="12"/>
      <c r="BB177" s="12"/>
      <c r="BC177" s="12"/>
      <c r="BD177" s="12"/>
      <c r="BE177" s="12"/>
      <c r="BF177" s="12"/>
      <c r="HP177" s="132"/>
    </row>
    <row r="178" spans="3:224" x14ac:dyDescent="0.2">
      <c r="C178" s="12"/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/>
      <c r="W178" s="12"/>
      <c r="X178" s="12"/>
      <c r="Y178" s="12"/>
      <c r="Z178" s="12"/>
      <c r="AA178" s="12"/>
      <c r="AB178" s="12"/>
      <c r="AC178" s="12"/>
      <c r="AD178" s="12"/>
      <c r="AE178" s="12"/>
      <c r="AF178" s="12"/>
      <c r="AG178" s="12"/>
      <c r="AH178" s="12"/>
      <c r="AI178" s="12"/>
      <c r="AJ178" s="12"/>
      <c r="AK178" s="12"/>
      <c r="AL178" s="12"/>
      <c r="AM178" s="12"/>
      <c r="AN178" s="12"/>
      <c r="AO178" s="12"/>
      <c r="AP178" s="12"/>
      <c r="AQ178" s="12"/>
      <c r="AR178" s="12"/>
      <c r="AS178" s="12"/>
      <c r="AT178" s="12"/>
      <c r="AU178" s="12"/>
      <c r="AV178" s="12"/>
      <c r="AW178" s="12"/>
      <c r="AX178" s="12"/>
      <c r="AY178" s="12"/>
      <c r="AZ178" s="12"/>
      <c r="BA178" s="12"/>
      <c r="BB178" s="12"/>
      <c r="BC178" s="12"/>
      <c r="BD178" s="12"/>
      <c r="BE178" s="12"/>
      <c r="BF178" s="12"/>
      <c r="HP178" s="132"/>
    </row>
    <row r="179" spans="3:224" x14ac:dyDescent="0.2">
      <c r="C179" s="12"/>
      <c r="D179" s="12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  <c r="X179" s="12"/>
      <c r="Y179" s="12"/>
      <c r="Z179" s="12"/>
      <c r="AA179" s="12"/>
      <c r="AB179" s="12"/>
      <c r="AC179" s="12"/>
      <c r="AD179" s="12"/>
      <c r="AE179" s="12"/>
      <c r="AF179" s="12"/>
      <c r="AG179" s="12"/>
      <c r="AH179" s="12"/>
      <c r="AI179" s="12"/>
      <c r="AJ179" s="12"/>
      <c r="AK179" s="12"/>
      <c r="AL179" s="12"/>
      <c r="AM179" s="12"/>
      <c r="AN179" s="12"/>
      <c r="AO179" s="12"/>
      <c r="AP179" s="12"/>
      <c r="AQ179" s="12"/>
      <c r="AR179" s="12"/>
      <c r="AS179" s="12"/>
      <c r="AT179" s="12"/>
      <c r="AU179" s="12"/>
      <c r="AV179" s="12"/>
      <c r="AW179" s="12"/>
      <c r="AX179" s="12"/>
      <c r="AY179" s="12"/>
      <c r="AZ179" s="12"/>
      <c r="BA179" s="12"/>
      <c r="BB179" s="12"/>
      <c r="BC179" s="12"/>
      <c r="BD179" s="12"/>
      <c r="BE179" s="12"/>
      <c r="BF179" s="12"/>
      <c r="HP179" s="132"/>
    </row>
    <row r="180" spans="3:224" x14ac:dyDescent="0.2"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F180" s="12"/>
      <c r="AG180" s="12"/>
      <c r="AH180" s="12"/>
      <c r="AI180" s="12"/>
      <c r="AJ180" s="12"/>
      <c r="AK180" s="12"/>
      <c r="AL180" s="12"/>
      <c r="AM180" s="12"/>
      <c r="AN180" s="12"/>
      <c r="AO180" s="12"/>
      <c r="AP180" s="12"/>
      <c r="AQ180" s="12"/>
      <c r="AR180" s="12"/>
      <c r="AS180" s="12"/>
      <c r="AT180" s="12"/>
      <c r="AU180" s="12"/>
      <c r="AV180" s="12"/>
      <c r="AW180" s="12"/>
      <c r="AX180" s="12"/>
      <c r="AY180" s="12"/>
      <c r="AZ180" s="12"/>
      <c r="BA180" s="12"/>
      <c r="BB180" s="12"/>
      <c r="BC180" s="12"/>
      <c r="BD180" s="12"/>
      <c r="BE180" s="12"/>
      <c r="BF180" s="12"/>
      <c r="HP180" s="132"/>
    </row>
    <row r="181" spans="3:224" x14ac:dyDescent="0.2">
      <c r="C181" s="12"/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 s="12"/>
      <c r="AJ181" s="12"/>
      <c r="AK181" s="12"/>
      <c r="AL181" s="12"/>
      <c r="AM181" s="12"/>
      <c r="AN181" s="12"/>
      <c r="AO181" s="12"/>
      <c r="AP181" s="12"/>
      <c r="AQ181" s="12"/>
      <c r="AR181" s="12"/>
      <c r="AS181" s="12"/>
      <c r="AT181" s="12"/>
      <c r="AU181" s="12"/>
      <c r="AV181" s="12"/>
      <c r="AW181" s="12"/>
      <c r="AX181" s="12"/>
      <c r="AY181" s="12"/>
      <c r="AZ181" s="12"/>
      <c r="BA181" s="12"/>
      <c r="BB181" s="12"/>
      <c r="BC181" s="12"/>
      <c r="BD181" s="12"/>
      <c r="BE181" s="12"/>
      <c r="BF181" s="12"/>
      <c r="HP181" s="132"/>
    </row>
    <row r="182" spans="3:224" x14ac:dyDescent="0.2">
      <c r="C182" s="12"/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 s="12"/>
      <c r="AJ182" s="12"/>
      <c r="AK182" s="12"/>
      <c r="AL182" s="12"/>
      <c r="AM182" s="12"/>
      <c r="AN182" s="12"/>
      <c r="AO182" s="12"/>
      <c r="AP182" s="12"/>
      <c r="AQ182" s="12"/>
      <c r="AR182" s="12"/>
      <c r="AS182" s="12"/>
      <c r="AT182" s="12"/>
      <c r="AU182" s="12"/>
      <c r="AV182" s="12"/>
      <c r="AW182" s="12"/>
      <c r="AX182" s="12"/>
      <c r="AY182" s="12"/>
      <c r="AZ182" s="12"/>
      <c r="BA182" s="12"/>
      <c r="BB182" s="12"/>
      <c r="BC182" s="12"/>
      <c r="BD182" s="12"/>
      <c r="BE182" s="12"/>
      <c r="BF182" s="12"/>
      <c r="HP182" s="132"/>
    </row>
    <row r="183" spans="3:224" x14ac:dyDescent="0.2">
      <c r="C183" s="12"/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F183" s="12"/>
      <c r="AG183" s="12"/>
      <c r="AH183" s="12"/>
      <c r="AI183" s="12"/>
      <c r="AJ183" s="12"/>
      <c r="AK183" s="12"/>
      <c r="AL183" s="12"/>
      <c r="AM183" s="12"/>
      <c r="AN183" s="12"/>
      <c r="AO183" s="12"/>
      <c r="AP183" s="12"/>
      <c r="AQ183" s="12"/>
      <c r="AR183" s="12"/>
      <c r="AS183" s="12"/>
      <c r="AT183" s="12"/>
      <c r="AU183" s="12"/>
      <c r="AV183" s="12"/>
      <c r="AW183" s="12"/>
      <c r="AX183" s="12"/>
      <c r="AY183" s="12"/>
      <c r="AZ183" s="12"/>
      <c r="BA183" s="12"/>
      <c r="BB183" s="12"/>
      <c r="BC183" s="12"/>
      <c r="BD183" s="12"/>
      <c r="BE183" s="12"/>
      <c r="BF183" s="12"/>
      <c r="HP183" s="132"/>
    </row>
    <row r="184" spans="3:224" x14ac:dyDescent="0.2">
      <c r="C184" s="12"/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/>
      <c r="AF184" s="12"/>
      <c r="AG184" s="12"/>
      <c r="AH184" s="12"/>
      <c r="AI184" s="12"/>
      <c r="AJ184" s="12"/>
      <c r="AK184" s="12"/>
      <c r="AL184" s="12"/>
      <c r="AM184" s="12"/>
      <c r="AN184" s="12"/>
      <c r="AO184" s="12"/>
      <c r="AP184" s="12"/>
      <c r="AQ184" s="12"/>
      <c r="AR184" s="12"/>
      <c r="AS184" s="12"/>
      <c r="AT184" s="12"/>
      <c r="AU184" s="12"/>
      <c r="AV184" s="12"/>
      <c r="AW184" s="12"/>
      <c r="AX184" s="12"/>
      <c r="AY184" s="12"/>
      <c r="AZ184" s="12"/>
      <c r="BA184" s="12"/>
      <c r="BB184" s="12"/>
      <c r="BC184" s="12"/>
      <c r="BD184" s="12"/>
      <c r="BE184" s="12"/>
      <c r="BF184" s="12"/>
      <c r="HP184" s="132"/>
    </row>
    <row r="185" spans="3:224" x14ac:dyDescent="0.2">
      <c r="C185" s="12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 s="12"/>
      <c r="AI185" s="12"/>
      <c r="AJ185" s="12"/>
      <c r="AK185" s="12"/>
      <c r="AL185" s="12"/>
      <c r="AM185" s="12"/>
      <c r="AN185" s="12"/>
      <c r="AO185" s="12"/>
      <c r="AP185" s="12"/>
      <c r="AQ185" s="12"/>
      <c r="AR185" s="12"/>
      <c r="AS185" s="12"/>
      <c r="AT185" s="12"/>
      <c r="AU185" s="12"/>
      <c r="AV185" s="12"/>
      <c r="AW185" s="12"/>
      <c r="AX185" s="12"/>
      <c r="AY185" s="12"/>
      <c r="AZ185" s="12"/>
      <c r="BA185" s="12"/>
      <c r="BB185" s="12"/>
      <c r="BC185" s="12"/>
      <c r="BD185" s="12"/>
      <c r="BE185" s="12"/>
      <c r="BF185" s="12"/>
      <c r="HP185" s="132"/>
    </row>
    <row r="186" spans="3:224" x14ac:dyDescent="0.2">
      <c r="C186" s="12"/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 s="12"/>
      <c r="AJ186" s="12"/>
      <c r="AK186" s="12"/>
      <c r="AL186" s="12"/>
      <c r="AM186" s="12"/>
      <c r="AN186" s="12"/>
      <c r="AO186" s="12"/>
      <c r="AP186" s="12"/>
      <c r="AQ186" s="12"/>
      <c r="AR186" s="12"/>
      <c r="AS186" s="12"/>
      <c r="AT186" s="12"/>
      <c r="AU186" s="12"/>
      <c r="AV186" s="12"/>
      <c r="AW186" s="12"/>
      <c r="AX186" s="12"/>
      <c r="AY186" s="12"/>
      <c r="AZ186" s="12"/>
      <c r="BA186" s="12"/>
      <c r="BB186" s="12"/>
      <c r="BC186" s="12"/>
      <c r="BD186" s="12"/>
      <c r="BE186" s="12"/>
      <c r="BF186" s="12"/>
      <c r="HP186" s="132"/>
    </row>
    <row r="187" spans="3:224" x14ac:dyDescent="0.2"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F187" s="12"/>
      <c r="AG187" s="12"/>
      <c r="AH187" s="12"/>
      <c r="AI187" s="12"/>
      <c r="AJ187" s="12"/>
      <c r="AK187" s="12"/>
      <c r="AL187" s="12"/>
      <c r="AM187" s="12"/>
      <c r="AN187" s="12"/>
      <c r="AO187" s="12"/>
      <c r="AP187" s="12"/>
      <c r="AQ187" s="12"/>
      <c r="AR187" s="12"/>
      <c r="AS187" s="12"/>
      <c r="AT187" s="12"/>
      <c r="AU187" s="12"/>
      <c r="AV187" s="12"/>
      <c r="AW187" s="12"/>
      <c r="AX187" s="12"/>
      <c r="AY187" s="12"/>
      <c r="AZ187" s="12"/>
      <c r="BA187" s="12"/>
      <c r="BB187" s="12"/>
      <c r="BC187" s="12"/>
      <c r="BD187" s="12"/>
      <c r="BE187" s="12"/>
      <c r="BF187" s="12"/>
      <c r="HP187" s="132"/>
    </row>
    <row r="188" spans="3:224" x14ac:dyDescent="0.2">
      <c r="C188" s="12"/>
      <c r="D188" s="12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/>
      <c r="X188" s="12"/>
      <c r="Y188" s="12"/>
      <c r="Z188" s="12"/>
      <c r="AA188" s="12"/>
      <c r="AB188" s="12"/>
      <c r="AC188" s="12"/>
      <c r="AD188" s="12"/>
      <c r="AE188" s="12"/>
      <c r="AF188" s="12"/>
      <c r="AG188" s="12"/>
      <c r="AH188" s="12"/>
      <c r="AI188" s="12"/>
      <c r="AJ188" s="12"/>
      <c r="AK188" s="12"/>
      <c r="AL188" s="12"/>
      <c r="AM188" s="12"/>
      <c r="AN188" s="12"/>
      <c r="AO188" s="12"/>
      <c r="AP188" s="12"/>
      <c r="AQ188" s="12"/>
      <c r="AR188" s="12"/>
      <c r="AS188" s="12"/>
      <c r="AT188" s="12"/>
      <c r="AU188" s="12"/>
      <c r="AV188" s="12"/>
      <c r="AW188" s="12"/>
      <c r="AX188" s="12"/>
      <c r="AY188" s="12"/>
      <c r="AZ188" s="12"/>
      <c r="BA188" s="12"/>
      <c r="BB188" s="12"/>
      <c r="BC188" s="12"/>
      <c r="BD188" s="12"/>
      <c r="BE188" s="12"/>
      <c r="BF188" s="12"/>
      <c r="HP188" s="132"/>
    </row>
    <row r="189" spans="3:224" x14ac:dyDescent="0.2">
      <c r="C189" s="12"/>
      <c r="D189" s="12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  <c r="W189" s="12"/>
      <c r="X189" s="12"/>
      <c r="Y189" s="12"/>
      <c r="Z189" s="12"/>
      <c r="AA189" s="12"/>
      <c r="AB189" s="12"/>
      <c r="AC189" s="12"/>
      <c r="AD189" s="12"/>
      <c r="AE189" s="12"/>
      <c r="AF189" s="12"/>
      <c r="AG189" s="12"/>
      <c r="AH189" s="12"/>
      <c r="AI189" s="12"/>
      <c r="AJ189" s="12"/>
      <c r="AK189" s="12"/>
      <c r="AL189" s="12"/>
      <c r="AM189" s="12"/>
      <c r="AN189" s="12"/>
      <c r="AO189" s="12"/>
      <c r="AP189" s="12"/>
      <c r="AQ189" s="12"/>
      <c r="AR189" s="12"/>
      <c r="AS189" s="12"/>
      <c r="AT189" s="12"/>
      <c r="AU189" s="12"/>
      <c r="AV189" s="12"/>
      <c r="AW189" s="12"/>
      <c r="AX189" s="12"/>
      <c r="AY189" s="12"/>
      <c r="AZ189" s="12"/>
      <c r="BA189" s="12"/>
      <c r="BB189" s="12"/>
      <c r="BC189" s="12"/>
      <c r="BD189" s="12"/>
      <c r="BE189" s="12"/>
      <c r="BF189" s="12"/>
      <c r="HP189" s="132"/>
    </row>
    <row r="190" spans="3:224" x14ac:dyDescent="0.2">
      <c r="C190" s="12"/>
      <c r="D190" s="12"/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  <c r="X190" s="12"/>
      <c r="Y190" s="12"/>
      <c r="Z190" s="12"/>
      <c r="AA190" s="12"/>
      <c r="AB190" s="12"/>
      <c r="AC190" s="12"/>
      <c r="AD190" s="12"/>
      <c r="AE190" s="12"/>
      <c r="AF190" s="12"/>
      <c r="AG190" s="12"/>
      <c r="AH190" s="12"/>
      <c r="AI190" s="12"/>
      <c r="AJ190" s="12"/>
      <c r="AK190" s="12"/>
      <c r="AL190" s="12"/>
      <c r="AM190" s="12"/>
      <c r="AN190" s="12"/>
      <c r="AO190" s="12"/>
      <c r="AP190" s="12"/>
      <c r="AQ190" s="12"/>
      <c r="AR190" s="12"/>
      <c r="AS190" s="12"/>
      <c r="AT190" s="12"/>
      <c r="AU190" s="12"/>
      <c r="AV190" s="12"/>
      <c r="AW190" s="12"/>
      <c r="AX190" s="12"/>
      <c r="AY190" s="12"/>
      <c r="AZ190" s="12"/>
      <c r="BA190" s="12"/>
      <c r="BB190" s="12"/>
      <c r="BC190" s="12"/>
      <c r="BD190" s="12"/>
      <c r="BE190" s="12"/>
      <c r="BF190" s="12"/>
      <c r="HP190" s="132"/>
    </row>
    <row r="191" spans="3:224" x14ac:dyDescent="0.2">
      <c r="C191" s="12"/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 s="12"/>
      <c r="AJ191" s="12"/>
      <c r="AK191" s="12"/>
      <c r="AL191" s="12"/>
      <c r="AM191" s="12"/>
      <c r="AN191" s="12"/>
      <c r="AO191" s="12"/>
      <c r="AP191" s="12"/>
      <c r="AQ191" s="12"/>
      <c r="AR191" s="12"/>
      <c r="AS191" s="12"/>
      <c r="AT191" s="12"/>
      <c r="AU191" s="12"/>
      <c r="AV191" s="12"/>
      <c r="AW191" s="12"/>
      <c r="AX191" s="12"/>
      <c r="AY191" s="12"/>
      <c r="AZ191" s="12"/>
      <c r="BA191" s="12"/>
      <c r="BB191" s="12"/>
      <c r="BC191" s="12"/>
      <c r="BD191" s="12"/>
      <c r="BE191" s="12"/>
      <c r="BF191" s="12"/>
      <c r="HP191" s="132"/>
    </row>
    <row r="192" spans="3:224" x14ac:dyDescent="0.2">
      <c r="C192" s="12"/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 s="12"/>
      <c r="AJ192" s="12"/>
      <c r="AK192" s="12"/>
      <c r="AL192" s="12"/>
      <c r="AM192" s="12"/>
      <c r="AN192" s="12"/>
      <c r="AO192" s="12"/>
      <c r="AP192" s="12"/>
      <c r="AQ192" s="12"/>
      <c r="AR192" s="12"/>
      <c r="AS192" s="12"/>
      <c r="AT192" s="12"/>
      <c r="AU192" s="12"/>
      <c r="AV192" s="12"/>
      <c r="AW192" s="12"/>
      <c r="AX192" s="12"/>
      <c r="AY192" s="12"/>
      <c r="AZ192" s="12"/>
      <c r="BA192" s="12"/>
      <c r="BB192" s="12"/>
      <c r="BC192" s="12"/>
      <c r="BD192" s="12"/>
      <c r="BE192" s="12"/>
      <c r="BF192" s="12"/>
      <c r="HP192" s="132"/>
    </row>
    <row r="193" spans="3:224" x14ac:dyDescent="0.2">
      <c r="C193" s="12"/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 s="12"/>
      <c r="AJ193" s="12"/>
      <c r="AK193" s="12"/>
      <c r="AL193" s="12"/>
      <c r="AM193" s="12"/>
      <c r="AN193" s="12"/>
      <c r="AO193" s="12"/>
      <c r="AP193" s="12"/>
      <c r="AQ193" s="12"/>
      <c r="AR193" s="12"/>
      <c r="AS193" s="12"/>
      <c r="AT193" s="12"/>
      <c r="AU193" s="12"/>
      <c r="AV193" s="12"/>
      <c r="AW193" s="12"/>
      <c r="AX193" s="12"/>
      <c r="AY193" s="12"/>
      <c r="AZ193" s="12"/>
      <c r="BA193" s="12"/>
      <c r="BB193" s="12"/>
      <c r="BC193" s="12"/>
      <c r="BD193" s="12"/>
      <c r="BE193" s="12"/>
      <c r="BF193" s="12"/>
      <c r="HP193" s="132"/>
    </row>
    <row r="194" spans="3:224" x14ac:dyDescent="0.2">
      <c r="C194" s="12"/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 s="12"/>
      <c r="AJ194" s="12"/>
      <c r="AK194" s="12"/>
      <c r="AL194" s="12"/>
      <c r="AM194" s="12"/>
      <c r="AN194" s="12"/>
      <c r="AO194" s="12"/>
      <c r="AP194" s="12"/>
      <c r="AQ194" s="12"/>
      <c r="AR194" s="12"/>
      <c r="AS194" s="12"/>
      <c r="AT194" s="12"/>
      <c r="AU194" s="12"/>
      <c r="AV194" s="12"/>
      <c r="AW194" s="12"/>
      <c r="AX194" s="12"/>
      <c r="AY194" s="12"/>
      <c r="AZ194" s="12"/>
      <c r="BA194" s="12"/>
      <c r="BB194" s="12"/>
      <c r="BC194" s="12"/>
      <c r="BD194" s="12"/>
      <c r="BE194" s="12"/>
      <c r="BF194" s="12"/>
      <c r="HP194" s="132"/>
    </row>
    <row r="195" spans="3:224" x14ac:dyDescent="0.2">
      <c r="C195" s="12"/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 s="12"/>
      <c r="AJ195" s="12"/>
      <c r="AK195" s="12"/>
      <c r="AL195" s="12"/>
      <c r="AM195" s="12"/>
      <c r="AN195" s="12"/>
      <c r="AO195" s="12"/>
      <c r="AP195" s="12"/>
      <c r="AQ195" s="12"/>
      <c r="AR195" s="12"/>
      <c r="AS195" s="12"/>
      <c r="AT195" s="12"/>
      <c r="AU195" s="12"/>
      <c r="AV195" s="12"/>
      <c r="AW195" s="12"/>
      <c r="AX195" s="12"/>
      <c r="AY195" s="12"/>
      <c r="AZ195" s="12"/>
      <c r="BA195" s="12"/>
      <c r="BB195" s="12"/>
      <c r="BC195" s="12"/>
      <c r="BD195" s="12"/>
      <c r="BE195" s="12"/>
      <c r="BF195" s="12"/>
      <c r="HP195" s="132"/>
    </row>
    <row r="196" spans="3:224" x14ac:dyDescent="0.2">
      <c r="C196" s="12"/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 s="12"/>
      <c r="AJ196" s="12"/>
      <c r="AK196" s="12"/>
      <c r="AL196" s="12"/>
      <c r="AM196" s="12"/>
      <c r="AN196" s="12"/>
      <c r="AO196" s="12"/>
      <c r="AP196" s="12"/>
      <c r="AQ196" s="12"/>
      <c r="AR196" s="12"/>
      <c r="AS196" s="12"/>
      <c r="AT196" s="12"/>
      <c r="AU196" s="12"/>
      <c r="AV196" s="12"/>
      <c r="AW196" s="12"/>
      <c r="AX196" s="12"/>
      <c r="AY196" s="12"/>
      <c r="AZ196" s="12"/>
      <c r="BA196" s="12"/>
      <c r="BB196" s="12"/>
      <c r="BC196" s="12"/>
      <c r="BD196" s="12"/>
      <c r="BE196" s="12"/>
      <c r="BF196" s="12"/>
      <c r="HP196" s="132"/>
    </row>
    <row r="197" spans="3:224" x14ac:dyDescent="0.2">
      <c r="C197" s="12"/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 s="12"/>
      <c r="AJ197" s="12"/>
      <c r="AK197" s="12"/>
      <c r="AL197" s="12"/>
      <c r="AM197" s="12"/>
      <c r="AN197" s="12"/>
      <c r="AO197" s="12"/>
      <c r="AP197" s="12"/>
      <c r="AQ197" s="12"/>
      <c r="AR197" s="12"/>
      <c r="AS197" s="12"/>
      <c r="AT197" s="12"/>
      <c r="AU197" s="12"/>
      <c r="AV197" s="12"/>
      <c r="AW197" s="12"/>
      <c r="AX197" s="12"/>
      <c r="AY197" s="12"/>
      <c r="AZ197" s="12"/>
      <c r="BA197" s="12"/>
      <c r="BB197" s="12"/>
      <c r="BC197" s="12"/>
      <c r="BD197" s="12"/>
      <c r="BE197" s="12"/>
      <c r="BF197" s="12"/>
      <c r="HP197" s="132"/>
    </row>
    <row r="198" spans="3:224" x14ac:dyDescent="0.2">
      <c r="C198" s="12"/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 s="12"/>
      <c r="AJ198" s="12"/>
      <c r="AK198" s="12"/>
      <c r="AL198" s="12"/>
      <c r="AM198" s="12"/>
      <c r="AN198" s="12"/>
      <c r="AO198" s="12"/>
      <c r="AP198" s="12"/>
      <c r="AQ198" s="12"/>
      <c r="AR198" s="12"/>
      <c r="AS198" s="12"/>
      <c r="AT198" s="12"/>
      <c r="AU198" s="12"/>
      <c r="AV198" s="12"/>
      <c r="AW198" s="12"/>
      <c r="AX198" s="12"/>
      <c r="AY198" s="12"/>
      <c r="AZ198" s="12"/>
      <c r="BA198" s="12"/>
      <c r="BB198" s="12"/>
      <c r="BC198" s="12"/>
      <c r="BD198" s="12"/>
      <c r="BE198" s="12"/>
      <c r="BF198" s="12"/>
      <c r="HP198" s="132"/>
    </row>
    <row r="199" spans="3:224" x14ac:dyDescent="0.2">
      <c r="C199" s="12"/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 s="12"/>
      <c r="AJ199" s="12"/>
      <c r="AK199" s="12"/>
      <c r="AL199" s="12"/>
      <c r="AM199" s="12"/>
      <c r="AN199" s="12"/>
      <c r="AO199" s="12"/>
      <c r="AP199" s="12"/>
      <c r="AQ199" s="12"/>
      <c r="AR199" s="12"/>
      <c r="AS199" s="12"/>
      <c r="AT199" s="12"/>
      <c r="AU199" s="12"/>
      <c r="AV199" s="12"/>
      <c r="AW199" s="12"/>
      <c r="AX199" s="12"/>
      <c r="AY199" s="12"/>
      <c r="AZ199" s="12"/>
      <c r="BA199" s="12"/>
      <c r="BB199" s="12"/>
      <c r="BC199" s="12"/>
      <c r="BD199" s="12"/>
      <c r="BE199" s="12"/>
      <c r="BF199" s="12"/>
      <c r="HP199" s="132"/>
    </row>
    <row r="200" spans="3:224" x14ac:dyDescent="0.2">
      <c r="C200" s="12"/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F200" s="12"/>
      <c r="AG200" s="12"/>
      <c r="AH200" s="12"/>
      <c r="AI200" s="12"/>
      <c r="AJ200" s="12"/>
      <c r="AK200" s="12"/>
      <c r="AL200" s="12"/>
      <c r="AM200" s="12"/>
      <c r="AN200" s="12"/>
      <c r="AO200" s="12"/>
      <c r="AP200" s="12"/>
      <c r="AQ200" s="12"/>
      <c r="AR200" s="12"/>
      <c r="AS200" s="12"/>
      <c r="AT200" s="12"/>
      <c r="AU200" s="12"/>
      <c r="AV200" s="12"/>
      <c r="AW200" s="12"/>
      <c r="AX200" s="12"/>
      <c r="AY200" s="12"/>
      <c r="AZ200" s="12"/>
      <c r="BA200" s="12"/>
      <c r="BB200" s="12"/>
      <c r="BC200" s="12"/>
      <c r="BD200" s="12"/>
      <c r="BE200" s="12"/>
      <c r="BF200" s="12"/>
      <c r="HP200" s="132"/>
    </row>
    <row r="201" spans="3:224" x14ac:dyDescent="0.2">
      <c r="C201" s="12"/>
      <c r="D201" s="12"/>
      <c r="E201" s="12"/>
      <c r="F201" s="12"/>
      <c r="G201" s="12"/>
      <c r="H201" s="12"/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2"/>
      <c r="W201" s="12"/>
      <c r="X201" s="12"/>
      <c r="Y201" s="12"/>
      <c r="Z201" s="12"/>
      <c r="AA201" s="12"/>
      <c r="AB201" s="12"/>
      <c r="AC201" s="12"/>
      <c r="AD201" s="12"/>
      <c r="AE201" s="12"/>
      <c r="AF201" s="12"/>
      <c r="AG201" s="12"/>
      <c r="AH201" s="12"/>
      <c r="AI201" s="12"/>
      <c r="AJ201" s="12"/>
      <c r="AK201" s="12"/>
      <c r="AL201" s="12"/>
      <c r="AM201" s="12"/>
      <c r="AN201" s="12"/>
      <c r="AO201" s="12"/>
      <c r="AP201" s="12"/>
      <c r="AQ201" s="12"/>
      <c r="AR201" s="12"/>
      <c r="AS201" s="12"/>
      <c r="AT201" s="12"/>
      <c r="AU201" s="12"/>
      <c r="AV201" s="12"/>
      <c r="AW201" s="12"/>
      <c r="AX201" s="12"/>
      <c r="AY201" s="12"/>
      <c r="AZ201" s="12"/>
      <c r="BA201" s="12"/>
      <c r="BB201" s="12"/>
      <c r="BC201" s="12"/>
      <c r="BD201" s="12"/>
      <c r="BE201" s="12"/>
      <c r="BF201" s="12"/>
      <c r="HP201" s="132"/>
    </row>
    <row r="202" spans="3:224" x14ac:dyDescent="0.2">
      <c r="C202" s="12"/>
      <c r="D202" s="12"/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2"/>
      <c r="P202" s="12"/>
      <c r="Q202" s="12"/>
      <c r="R202" s="12"/>
      <c r="S202" s="12"/>
      <c r="T202" s="12"/>
      <c r="U202" s="12"/>
      <c r="V202" s="12"/>
      <c r="W202" s="12"/>
      <c r="X202" s="12"/>
      <c r="Y202" s="12"/>
      <c r="Z202" s="12"/>
      <c r="AA202" s="12"/>
      <c r="AB202" s="12"/>
      <c r="AC202" s="12"/>
      <c r="AD202" s="12"/>
      <c r="AE202" s="12"/>
      <c r="AF202" s="12"/>
      <c r="AG202" s="12"/>
      <c r="AH202" s="12"/>
      <c r="AI202" s="12"/>
      <c r="AJ202" s="12"/>
      <c r="AK202" s="12"/>
      <c r="AL202" s="12"/>
      <c r="AM202" s="12"/>
      <c r="AN202" s="12"/>
      <c r="AO202" s="12"/>
      <c r="AP202" s="12"/>
      <c r="AQ202" s="12"/>
      <c r="AR202" s="12"/>
      <c r="AS202" s="12"/>
      <c r="AT202" s="12"/>
      <c r="AU202" s="12"/>
      <c r="AV202" s="12"/>
      <c r="AW202" s="12"/>
      <c r="AX202" s="12"/>
      <c r="AY202" s="12"/>
      <c r="AZ202" s="12"/>
      <c r="BA202" s="12"/>
      <c r="BB202" s="12"/>
      <c r="BC202" s="12"/>
      <c r="BD202" s="12"/>
      <c r="BE202" s="12"/>
      <c r="BF202" s="12"/>
      <c r="HP202" s="132"/>
    </row>
    <row r="203" spans="3:224" x14ac:dyDescent="0.2">
      <c r="C203" s="12"/>
      <c r="D203" s="12"/>
      <c r="E203" s="12"/>
      <c r="F203" s="12"/>
      <c r="G203" s="12"/>
      <c r="H203" s="12"/>
      <c r="I203" s="12"/>
      <c r="J203" s="12"/>
      <c r="K203" s="12"/>
      <c r="L203" s="12"/>
      <c r="M203" s="12"/>
      <c r="N203" s="12"/>
      <c r="O203" s="12"/>
      <c r="P203" s="12"/>
      <c r="Q203" s="12"/>
      <c r="R203" s="12"/>
      <c r="S203" s="12"/>
      <c r="T203" s="12"/>
      <c r="U203" s="12"/>
      <c r="V203" s="12"/>
      <c r="W203" s="12"/>
      <c r="X203" s="12"/>
      <c r="Y203" s="12"/>
      <c r="Z203" s="12"/>
      <c r="AA203" s="12"/>
      <c r="AB203" s="12"/>
      <c r="AC203" s="12"/>
      <c r="AD203" s="12"/>
      <c r="AE203" s="12"/>
      <c r="AF203" s="12"/>
      <c r="AG203" s="12"/>
      <c r="AH203" s="12"/>
      <c r="AI203" s="12"/>
      <c r="AJ203" s="12"/>
      <c r="AK203" s="12"/>
      <c r="AL203" s="12"/>
      <c r="AM203" s="12"/>
      <c r="AN203" s="12"/>
      <c r="AO203" s="12"/>
      <c r="AP203" s="12"/>
      <c r="AQ203" s="12"/>
      <c r="AR203" s="12"/>
      <c r="AS203" s="12"/>
      <c r="AT203" s="12"/>
      <c r="AU203" s="12"/>
      <c r="AV203" s="12"/>
      <c r="AW203" s="12"/>
      <c r="AX203" s="12"/>
      <c r="AY203" s="12"/>
      <c r="AZ203" s="12"/>
      <c r="BA203" s="12"/>
      <c r="BB203" s="12"/>
      <c r="BC203" s="12"/>
      <c r="BD203" s="12"/>
      <c r="BE203" s="12"/>
      <c r="BF203" s="12"/>
      <c r="HP203" s="132"/>
    </row>
    <row r="204" spans="3:224" x14ac:dyDescent="0.2">
      <c r="C204" s="12"/>
      <c r="D204" s="12"/>
      <c r="E204" s="12"/>
      <c r="F204" s="12"/>
      <c r="G204" s="12"/>
      <c r="H204" s="12"/>
      <c r="I204" s="12"/>
      <c r="J204" s="12"/>
      <c r="K204" s="12"/>
      <c r="L204" s="12"/>
      <c r="M204" s="12"/>
      <c r="N204" s="12"/>
      <c r="O204" s="12"/>
      <c r="P204" s="12"/>
      <c r="Q204" s="12"/>
      <c r="R204" s="12"/>
      <c r="S204" s="12"/>
      <c r="T204" s="12"/>
      <c r="U204" s="12"/>
      <c r="V204" s="12"/>
      <c r="W204" s="12"/>
      <c r="X204" s="12"/>
      <c r="Y204" s="12"/>
      <c r="Z204" s="12"/>
      <c r="AA204" s="12"/>
      <c r="AB204" s="12"/>
      <c r="AC204" s="12"/>
      <c r="AD204" s="12"/>
      <c r="AE204" s="12"/>
      <c r="AF204" s="12"/>
      <c r="AG204" s="12"/>
      <c r="AH204" s="12"/>
      <c r="AI204" s="12"/>
      <c r="AJ204" s="12"/>
      <c r="AK204" s="12"/>
      <c r="AL204" s="12"/>
      <c r="AM204" s="12"/>
      <c r="AN204" s="12"/>
      <c r="AO204" s="12"/>
      <c r="AP204" s="12"/>
      <c r="AQ204" s="12"/>
      <c r="AR204" s="12"/>
      <c r="AS204" s="12"/>
      <c r="AT204" s="12"/>
      <c r="AU204" s="12"/>
      <c r="AV204" s="12"/>
      <c r="AW204" s="12"/>
      <c r="AX204" s="12"/>
      <c r="AY204" s="12"/>
      <c r="AZ204" s="12"/>
      <c r="BA204" s="12"/>
      <c r="BB204" s="12"/>
      <c r="BC204" s="12"/>
      <c r="BD204" s="12"/>
      <c r="BE204" s="12"/>
      <c r="BF204" s="12"/>
    </row>
    <row r="205" spans="3:224" x14ac:dyDescent="0.2">
      <c r="C205" s="12"/>
      <c r="D205" s="12"/>
      <c r="E205" s="12"/>
      <c r="F205" s="12"/>
      <c r="G205" s="12"/>
      <c r="H205" s="12"/>
      <c r="I205" s="12"/>
      <c r="J205" s="12"/>
      <c r="K205" s="12"/>
      <c r="L205" s="12"/>
      <c r="M205" s="12"/>
      <c r="N205" s="12"/>
      <c r="O205" s="12"/>
      <c r="P205" s="12"/>
      <c r="Q205" s="12"/>
      <c r="R205" s="12"/>
      <c r="S205" s="12"/>
      <c r="T205" s="12"/>
      <c r="U205" s="12"/>
      <c r="V205" s="12"/>
      <c r="W205" s="12"/>
      <c r="X205" s="12"/>
      <c r="Y205" s="12"/>
      <c r="Z205" s="12"/>
      <c r="AA205" s="12"/>
      <c r="AB205" s="12"/>
      <c r="AC205" s="12"/>
      <c r="AD205" s="12"/>
      <c r="AE205" s="12"/>
      <c r="AF205" s="12"/>
      <c r="AG205" s="12"/>
      <c r="AH205" s="12"/>
      <c r="AI205" s="12"/>
      <c r="AJ205" s="12"/>
      <c r="AK205" s="12"/>
      <c r="AL205" s="12"/>
      <c r="AM205" s="12"/>
      <c r="AN205" s="12"/>
      <c r="AO205" s="12"/>
      <c r="AP205" s="12"/>
      <c r="AQ205" s="12"/>
      <c r="AR205" s="12"/>
      <c r="AS205" s="12"/>
      <c r="AT205" s="12"/>
      <c r="AU205" s="12"/>
      <c r="AV205" s="12"/>
      <c r="AW205" s="12"/>
      <c r="AX205" s="12"/>
      <c r="AY205" s="12"/>
      <c r="AZ205" s="12"/>
      <c r="BA205" s="12"/>
      <c r="BB205" s="12"/>
      <c r="BC205" s="12"/>
      <c r="BD205" s="12"/>
      <c r="BE205" s="12"/>
      <c r="BF205" s="12"/>
    </row>
    <row r="206" spans="3:224" x14ac:dyDescent="0.2">
      <c r="C206" s="12"/>
      <c r="D206" s="12"/>
      <c r="E206" s="12"/>
      <c r="F206" s="12"/>
      <c r="G206" s="12"/>
      <c r="H206" s="12"/>
      <c r="I206" s="12"/>
      <c r="J206" s="12"/>
      <c r="K206" s="12"/>
      <c r="L206" s="12"/>
      <c r="M206" s="12"/>
      <c r="N206" s="12"/>
      <c r="O206" s="12"/>
      <c r="P206" s="12"/>
      <c r="Q206" s="12"/>
      <c r="R206" s="12"/>
      <c r="S206" s="12"/>
      <c r="T206" s="12"/>
      <c r="U206" s="12"/>
      <c r="V206" s="12"/>
      <c r="W206" s="12"/>
      <c r="X206" s="12"/>
      <c r="Y206" s="12"/>
      <c r="Z206" s="12"/>
      <c r="AA206" s="12"/>
      <c r="AB206" s="12"/>
      <c r="AC206" s="12"/>
      <c r="AD206" s="12"/>
      <c r="AE206" s="12"/>
      <c r="AF206" s="12"/>
      <c r="AG206" s="12"/>
      <c r="AH206" s="12"/>
      <c r="AI206" s="12"/>
      <c r="AJ206" s="12"/>
      <c r="AK206" s="12"/>
      <c r="AL206" s="12"/>
      <c r="AM206" s="12"/>
      <c r="AN206" s="12"/>
      <c r="AO206" s="12"/>
      <c r="AP206" s="12"/>
      <c r="AQ206" s="12"/>
      <c r="AR206" s="12"/>
      <c r="AS206" s="12"/>
      <c r="AT206" s="12"/>
      <c r="AU206" s="12"/>
      <c r="AV206" s="12"/>
      <c r="AW206" s="12"/>
      <c r="AX206" s="12"/>
      <c r="AY206" s="12"/>
      <c r="AZ206" s="12"/>
      <c r="BA206" s="12"/>
      <c r="BB206" s="12"/>
      <c r="BC206" s="12"/>
      <c r="BD206" s="12"/>
      <c r="BE206" s="12"/>
      <c r="BF206" s="12"/>
    </row>
  </sheetData>
  <pageMargins left="0" right="0" top="0.39409448818897608" bottom="0.39409448818897608" header="0" footer="0"/>
  <pageSetup paperSize="9" fitToWidth="0" fitToHeight="0" orientation="portrait" horizontalDpi="4294967293" verticalDpi="4294967293" r:id="rId1"/>
  <headerFooter>
    <oddHeader>&amp;C&amp;A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25" x14ac:dyDescent="0.2"/>
  <cols>
    <col min="1" max="1" width="10.75" customWidth="1"/>
    <col min="2" max="2" width="11" customWidth="1"/>
  </cols>
  <sheetData/>
  <pageMargins left="0" right="0" top="0.39409448818897608" bottom="0.39409448818897608" header="0" footer="0"/>
  <headerFooter>
    <oddHeader>&amp;C&amp;A</oddHeader>
    <oddFooter>&amp;CPage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25" x14ac:dyDescent="0.2"/>
  <cols>
    <col min="1" max="1" width="10.75" customWidth="1"/>
    <col min="2" max="2" width="11" customWidth="1"/>
  </cols>
  <sheetData/>
  <pageMargins left="0" right="0" top="0.39409448818897608" bottom="0.39409448818897608" header="0" footer="0"/>
  <headerFooter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1156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Feuille1</vt:lpstr>
      <vt:lpstr>Feuille2</vt:lpstr>
      <vt:lpstr>Feuille3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Bernadette</dc:creator>
  <cp:lastModifiedBy>Bernadette</cp:lastModifiedBy>
  <cp:revision>173</cp:revision>
  <cp:lastPrinted>2013-12-31T15:01:28Z</cp:lastPrinted>
  <dcterms:created xsi:type="dcterms:W3CDTF">2013-06-03T12:32:08Z</dcterms:created>
  <dcterms:modified xsi:type="dcterms:W3CDTF">2014-01-01T15:56:41Z</dcterms:modified>
</cp:coreProperties>
</file>