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hmane\Desktop\muro2\comptabilité\"/>
    </mc:Choice>
  </mc:AlternateContent>
  <bookViews>
    <workbookView xWindow="0" yWindow="0" windowWidth="20490" windowHeight="7755" activeTab="10"/>
  </bookViews>
  <sheets>
    <sheet name="Données  " sheetId="1" r:id="rId1"/>
    <sheet name="Tableau de Répartition des C.I" sheetId="11" r:id="rId2"/>
    <sheet name="Coût d'achat" sheetId="3" r:id="rId3"/>
    <sheet name="Inventaires permanents " sheetId="4" r:id="rId4"/>
    <sheet name="Couts de productions " sheetId="5" r:id="rId5"/>
    <sheet name="Inventaire permanets produits" sheetId="10" r:id="rId6"/>
    <sheet name="Cout de revient " sheetId="6" r:id="rId7"/>
    <sheet name="Résultat analytique  " sheetId="7" r:id="rId8"/>
    <sheet name="CPC simplifiée" sheetId="9" r:id="rId9"/>
    <sheet name="Charges de la comptabilité G." sheetId="8" r:id="rId10"/>
    <sheet name="Concordance" sheetId="12" r:id="rId11"/>
  </sheets>
  <calcPr calcId="152511"/>
</workbook>
</file>

<file path=xl/calcChain.xml><?xml version="1.0" encoding="utf-8"?>
<calcChain xmlns="http://schemas.openxmlformats.org/spreadsheetml/2006/main">
  <c r="B6" i="12" l="1"/>
  <c r="D5" i="8"/>
  <c r="D11" i="9"/>
  <c r="D9" i="9"/>
  <c r="D2" i="9"/>
  <c r="B2" i="9"/>
  <c r="J5" i="7" l="1"/>
  <c r="I7" i="7"/>
  <c r="I5" i="7"/>
  <c r="K5" i="7" s="1"/>
  <c r="B7" i="7"/>
  <c r="C5" i="7"/>
  <c r="B5" i="7"/>
  <c r="J7" i="6"/>
  <c r="I6" i="7" s="1"/>
  <c r="J6" i="6"/>
  <c r="B6" i="6"/>
  <c r="B7" i="6"/>
  <c r="B6" i="7" s="1"/>
  <c r="F5" i="10"/>
  <c r="B5" i="6" s="1"/>
  <c r="I73" i="5"/>
  <c r="B73" i="5"/>
  <c r="J70" i="5"/>
  <c r="I70" i="5"/>
  <c r="I69" i="5"/>
  <c r="I68" i="5"/>
  <c r="C70" i="5"/>
  <c r="B70" i="5"/>
  <c r="B69" i="5"/>
  <c r="B68" i="5"/>
  <c r="D5" i="7" l="1"/>
  <c r="D70" i="5"/>
  <c r="K70" i="5"/>
  <c r="B71" i="5"/>
  <c r="I71" i="5"/>
  <c r="K72" i="5"/>
  <c r="D72" i="5"/>
  <c r="K65" i="5"/>
  <c r="D65" i="5"/>
  <c r="B58" i="5"/>
  <c r="B67" i="5" s="1"/>
  <c r="C56" i="5"/>
  <c r="B56" i="5"/>
  <c r="B57" i="5" s="1"/>
  <c r="I48" i="5"/>
  <c r="I67" i="5" s="1"/>
  <c r="B48" i="5"/>
  <c r="B54" i="5" s="1"/>
  <c r="B46" i="5"/>
  <c r="B47" i="5" s="1"/>
  <c r="Q11" i="11"/>
  <c r="J46" i="5"/>
  <c r="I46" i="5"/>
  <c r="C46" i="5"/>
  <c r="I39" i="5"/>
  <c r="I45" i="5" s="1"/>
  <c r="B39" i="5"/>
  <c r="B45" i="5" s="1"/>
  <c r="K38" i="5"/>
  <c r="D38" i="5"/>
  <c r="J36" i="5"/>
  <c r="I36" i="5"/>
  <c r="I37" i="5" s="1"/>
  <c r="C36" i="5"/>
  <c r="B36" i="5"/>
  <c r="I35" i="5"/>
  <c r="I29" i="5"/>
  <c r="I66" i="5" s="1"/>
  <c r="B29" i="5"/>
  <c r="B66" i="5" s="1"/>
  <c r="J27" i="5"/>
  <c r="I27" i="5"/>
  <c r="I28" i="5" s="1"/>
  <c r="B26" i="5"/>
  <c r="C27" i="5"/>
  <c r="B27" i="5"/>
  <c r="B28" i="5" s="1"/>
  <c r="I18" i="5"/>
  <c r="I25" i="5" s="1"/>
  <c r="J16" i="5"/>
  <c r="I16" i="5"/>
  <c r="I17" i="5" s="1"/>
  <c r="B18" i="5"/>
  <c r="B25" i="5" s="1"/>
  <c r="C16" i="5"/>
  <c r="B16" i="5"/>
  <c r="L26" i="11"/>
  <c r="K26" i="11"/>
  <c r="J26" i="11"/>
  <c r="I26" i="11"/>
  <c r="H26" i="11"/>
  <c r="G26" i="11"/>
  <c r="F26" i="11"/>
  <c r="E26" i="11"/>
  <c r="K14" i="11"/>
  <c r="H14" i="11"/>
  <c r="I8" i="5"/>
  <c r="I15" i="5" s="1"/>
  <c r="B8" i="5"/>
  <c r="B15" i="5" s="1"/>
  <c r="P6" i="10"/>
  <c r="P5" i="10"/>
  <c r="J5" i="6" s="1"/>
  <c r="M5" i="10"/>
  <c r="L5" i="10"/>
  <c r="F6" i="10"/>
  <c r="C5" i="10"/>
  <c r="B5" i="10"/>
  <c r="H6" i="3"/>
  <c r="H8" i="3" s="1"/>
  <c r="B2" i="1"/>
  <c r="B11" i="11" s="1"/>
  <c r="L6" i="10"/>
  <c r="B6" i="10"/>
  <c r="J6" i="5"/>
  <c r="I6" i="5"/>
  <c r="I7" i="5" s="1"/>
  <c r="C6" i="5"/>
  <c r="B6" i="5"/>
  <c r="B7" i="5" s="1"/>
  <c r="O14" i="4"/>
  <c r="O13" i="4"/>
  <c r="B55" i="5" s="1"/>
  <c r="L14" i="4"/>
  <c r="K14" i="4"/>
  <c r="L13" i="4"/>
  <c r="K13" i="4"/>
  <c r="O6" i="4"/>
  <c r="O5" i="4"/>
  <c r="I26" i="5" s="1"/>
  <c r="L5" i="4"/>
  <c r="K5" i="4"/>
  <c r="K7" i="4" s="1"/>
  <c r="O25" i="4"/>
  <c r="O24" i="4"/>
  <c r="K25" i="4"/>
  <c r="L24" i="4"/>
  <c r="K24" i="4"/>
  <c r="F16" i="4"/>
  <c r="F15" i="4"/>
  <c r="B35" i="5" s="1"/>
  <c r="B16" i="4"/>
  <c r="C15" i="4"/>
  <c r="B15" i="4"/>
  <c r="F6" i="4"/>
  <c r="F5" i="4"/>
  <c r="C5" i="4"/>
  <c r="B5" i="4"/>
  <c r="B8" i="4" s="1"/>
  <c r="F25" i="4"/>
  <c r="F24" i="4"/>
  <c r="I5" i="5" s="1"/>
  <c r="C24" i="4"/>
  <c r="B25" i="4"/>
  <c r="B24" i="4"/>
  <c r="I6" i="3"/>
  <c r="H7" i="3"/>
  <c r="I16" i="3"/>
  <c r="H17" i="3"/>
  <c r="H16" i="3"/>
  <c r="H18" i="3" s="1"/>
  <c r="C16" i="3"/>
  <c r="B17" i="3"/>
  <c r="B16" i="3"/>
  <c r="B18" i="3" s="1"/>
  <c r="C6" i="3"/>
  <c r="B7" i="3"/>
  <c r="B6" i="3"/>
  <c r="D6" i="3" s="1"/>
  <c r="M11" i="11" l="1"/>
  <c r="J11" i="11"/>
  <c r="J14" i="11" s="1"/>
  <c r="L11" i="11"/>
  <c r="I11" i="11"/>
  <c r="I14" i="11" s="1"/>
  <c r="F11" i="11"/>
  <c r="F14" i="11" s="1"/>
  <c r="D11" i="11"/>
  <c r="D14" i="11" s="1"/>
  <c r="G11" i="11"/>
  <c r="G14" i="11" s="1"/>
  <c r="E11" i="11"/>
  <c r="E14" i="11" s="1"/>
  <c r="C11" i="11"/>
  <c r="C14" i="11" s="1"/>
  <c r="B4" i="12"/>
  <c r="D3" i="8"/>
  <c r="M26" i="11"/>
  <c r="M14" i="11"/>
  <c r="D46" i="5"/>
  <c r="K46" i="5"/>
  <c r="I47" i="5"/>
  <c r="D56" i="5"/>
  <c r="D16" i="5"/>
  <c r="D36" i="5"/>
  <c r="B5" i="5"/>
  <c r="D27" i="5"/>
  <c r="K36" i="5"/>
  <c r="B17" i="5"/>
  <c r="B37" i="5"/>
  <c r="K16" i="5"/>
  <c r="K27" i="5"/>
  <c r="L14" i="11"/>
  <c r="B14" i="11"/>
  <c r="B22" i="11" s="1"/>
  <c r="D2" i="8" s="1"/>
  <c r="B8" i="10"/>
  <c r="F7" i="10" s="1"/>
  <c r="F8" i="10" s="1"/>
  <c r="D5" i="10"/>
  <c r="L8" i="10"/>
  <c r="P7" i="10" s="1"/>
  <c r="P8" i="10" s="1"/>
  <c r="F7" i="4"/>
  <c r="F8" i="4" s="1"/>
  <c r="N5" i="10"/>
  <c r="J6" i="3"/>
  <c r="M24" i="4"/>
  <c r="O26" i="4"/>
  <c r="O7" i="4"/>
  <c r="M13" i="4"/>
  <c r="D6" i="5"/>
  <c r="B17" i="4"/>
  <c r="D15" i="4"/>
  <c r="J16" i="3"/>
  <c r="K26" i="4"/>
  <c r="K15" i="4"/>
  <c r="D16" i="3"/>
  <c r="B27" i="4"/>
  <c r="F26" i="4" s="1"/>
  <c r="F27" i="4" s="1"/>
  <c r="D24" i="4"/>
  <c r="D5" i="4"/>
  <c r="D8" i="4" s="1"/>
  <c r="C8" i="4" s="1"/>
  <c r="G7" i="4" s="1"/>
  <c r="F17" i="4"/>
  <c r="M5" i="4"/>
  <c r="M7" i="4" s="1"/>
  <c r="M14" i="4"/>
  <c r="O15" i="4"/>
  <c r="K6" i="5"/>
  <c r="B8" i="3"/>
  <c r="L7" i="4"/>
  <c r="P5" i="4" s="1"/>
  <c r="Q5" i="4" s="1"/>
  <c r="Q7" i="4" s="1"/>
  <c r="S11" i="11" l="1"/>
  <c r="R12" i="11" s="1"/>
  <c r="R13" i="11" s="1"/>
  <c r="D4" i="8"/>
  <c r="D6" i="8" s="1"/>
  <c r="B13" i="9" s="1"/>
  <c r="M15" i="4"/>
  <c r="L15" i="4" s="1"/>
  <c r="P13" i="4" s="1"/>
  <c r="Q13" i="4" s="1"/>
  <c r="H7" i="4"/>
  <c r="P7" i="4"/>
  <c r="G5" i="4"/>
  <c r="H5" i="4" s="1"/>
  <c r="G6" i="4"/>
  <c r="H6" i="4" s="1"/>
  <c r="J26" i="5" l="1"/>
  <c r="K26" i="5" s="1"/>
  <c r="C26" i="5"/>
  <c r="D26" i="5" s="1"/>
  <c r="P14" i="4"/>
  <c r="Q14" i="4" s="1"/>
  <c r="Q15" i="4" s="1"/>
  <c r="P15" i="4" s="1"/>
  <c r="C55" i="5" s="1"/>
  <c r="D55" i="5" s="1"/>
  <c r="H8" i="4"/>
  <c r="G8" i="4" s="1"/>
  <c r="C69" i="5" l="1"/>
  <c r="D69" i="5" s="1"/>
  <c r="J69" i="5"/>
  <c r="K69" i="5" s="1"/>
  <c r="D20" i="11"/>
  <c r="C18" i="11"/>
  <c r="M20" i="11" l="1"/>
  <c r="K20" i="11"/>
  <c r="I20" i="11"/>
  <c r="G20" i="11"/>
  <c r="E20" i="11"/>
  <c r="L20" i="11"/>
  <c r="J20" i="11"/>
  <c r="H20" i="11"/>
  <c r="F20" i="11"/>
  <c r="C20" i="11"/>
  <c r="C22" i="11" s="1"/>
  <c r="M18" i="11"/>
  <c r="K18" i="11"/>
  <c r="I18" i="11"/>
  <c r="G18" i="11"/>
  <c r="E18" i="11"/>
  <c r="L18" i="11"/>
  <c r="J18" i="11"/>
  <c r="H18" i="11"/>
  <c r="F18" i="11"/>
  <c r="D18" i="11"/>
  <c r="D22" i="11" s="1"/>
  <c r="F22" i="11" l="1"/>
  <c r="F27" i="11" s="1"/>
  <c r="J7" i="5" s="1"/>
  <c r="K7" i="5" s="1"/>
  <c r="J22" i="11"/>
  <c r="J27" i="11" s="1"/>
  <c r="E22" i="11"/>
  <c r="E27" i="11" s="1"/>
  <c r="I22" i="11"/>
  <c r="I27" i="11" s="1"/>
  <c r="M22" i="11"/>
  <c r="M27" i="11" s="1"/>
  <c r="G22" i="11"/>
  <c r="G27" i="11" s="1"/>
  <c r="K22" i="11"/>
  <c r="K27" i="11" s="1"/>
  <c r="C57" i="5" s="1"/>
  <c r="D57" i="5" s="1"/>
  <c r="H22" i="11"/>
  <c r="H27" i="11" s="1"/>
  <c r="L22" i="11"/>
  <c r="L27" i="11" s="1"/>
  <c r="C7" i="5" l="1"/>
  <c r="D7" i="5" s="1"/>
  <c r="K6" i="6"/>
  <c r="L6" i="6" s="1"/>
  <c r="C6" i="6"/>
  <c r="D6" i="6" s="1"/>
  <c r="C71" i="5"/>
  <c r="D71" i="5" s="1"/>
  <c r="J71" i="5"/>
  <c r="K71" i="5" s="1"/>
  <c r="J47" i="5"/>
  <c r="K47" i="5" s="1"/>
  <c r="C47" i="5"/>
  <c r="D47" i="5" s="1"/>
  <c r="J28" i="5"/>
  <c r="K28" i="5" s="1"/>
  <c r="C28" i="5"/>
  <c r="D28" i="5" s="1"/>
  <c r="J17" i="5"/>
  <c r="K17" i="5" s="1"/>
  <c r="C17" i="5"/>
  <c r="D17" i="5" s="1"/>
  <c r="J37" i="5"/>
  <c r="K37" i="5" s="1"/>
  <c r="C37" i="5"/>
  <c r="D37" i="5" s="1"/>
  <c r="C7" i="3"/>
  <c r="D7" i="3" s="1"/>
  <c r="D8" i="3" s="1"/>
  <c r="C8" i="3" s="1"/>
  <c r="C25" i="4" s="1"/>
  <c r="D25" i="4" s="1"/>
  <c r="D27" i="4" s="1"/>
  <c r="C27" i="4" s="1"/>
  <c r="I17" i="3"/>
  <c r="J17" i="3" s="1"/>
  <c r="J18" i="3" s="1"/>
  <c r="I18" i="3" s="1"/>
  <c r="L25" i="4" s="1"/>
  <c r="M25" i="4" s="1"/>
  <c r="M26" i="4" s="1"/>
  <c r="L26" i="4" s="1"/>
  <c r="C17" i="3"/>
  <c r="D17" i="3" s="1"/>
  <c r="D18" i="3" s="1"/>
  <c r="C18" i="3" s="1"/>
  <c r="C16" i="4" s="1"/>
  <c r="D16" i="4" s="1"/>
  <c r="D17" i="4" s="1"/>
  <c r="C17" i="4" s="1"/>
  <c r="I7" i="3"/>
  <c r="J7" i="3" s="1"/>
  <c r="J8" i="3" s="1"/>
  <c r="I8" i="3" s="1"/>
  <c r="G16" i="4" l="1"/>
  <c r="G15" i="4"/>
  <c r="C5" i="5"/>
  <c r="D5" i="5" s="1"/>
  <c r="D8" i="5" s="1"/>
  <c r="C8" i="5" s="1"/>
  <c r="C15" i="5" s="1"/>
  <c r="D15" i="5" s="1"/>
  <c r="D18" i="5" s="1"/>
  <c r="G24" i="4"/>
  <c r="H24" i="4" s="1"/>
  <c r="G25" i="4"/>
  <c r="H25" i="4" s="1"/>
  <c r="G26" i="4"/>
  <c r="H26" i="4" s="1"/>
  <c r="J5" i="5"/>
  <c r="K5" i="5" s="1"/>
  <c r="K8" i="5" s="1"/>
  <c r="J8" i="5" s="1"/>
  <c r="J15" i="5" s="1"/>
  <c r="K15" i="5" s="1"/>
  <c r="K18" i="5" s="1"/>
  <c r="P25" i="4"/>
  <c r="Q25" i="4" s="1"/>
  <c r="P24" i="4"/>
  <c r="Q24" i="4" s="1"/>
  <c r="H16" i="4" l="1"/>
  <c r="A22" i="9"/>
  <c r="B5" i="9" s="1"/>
  <c r="B14" i="9" s="1"/>
  <c r="H15" i="4"/>
  <c r="J35" i="5"/>
  <c r="K35" i="5" s="1"/>
  <c r="K39" i="5" s="1"/>
  <c r="J18" i="5"/>
  <c r="J25" i="5" s="1"/>
  <c r="K25" i="5"/>
  <c r="K29" i="5" s="1"/>
  <c r="D25" i="5"/>
  <c r="D29" i="5" s="1"/>
  <c r="C18" i="5"/>
  <c r="C25" i="5" s="1"/>
  <c r="Q26" i="4"/>
  <c r="P26" i="4" s="1"/>
  <c r="H27" i="4"/>
  <c r="G27" i="4" s="1"/>
  <c r="H17" i="4"/>
  <c r="G17" i="4" s="1"/>
  <c r="C35" i="5" s="1"/>
  <c r="D35" i="5" s="1"/>
  <c r="D39" i="5" s="1"/>
  <c r="J29" i="5" l="1"/>
  <c r="J66" i="5" s="1"/>
  <c r="K66" i="5"/>
  <c r="J68" i="5"/>
  <c r="K68" i="5" s="1"/>
  <c r="C68" i="5"/>
  <c r="D68" i="5" s="1"/>
  <c r="C29" i="5"/>
  <c r="C66" i="5" s="1"/>
  <c r="D66" i="5"/>
  <c r="K45" i="5"/>
  <c r="K48" i="5" s="1"/>
  <c r="J39" i="5"/>
  <c r="J45" i="5" s="1"/>
  <c r="C39" i="5"/>
  <c r="C45" i="5" s="1"/>
  <c r="D45" i="5"/>
  <c r="D48" i="5" s="1"/>
  <c r="D54" i="5" l="1"/>
  <c r="D58" i="5" s="1"/>
  <c r="C48" i="5"/>
  <c r="C54" i="5" s="1"/>
  <c r="K67" i="5"/>
  <c r="K73" i="5" s="1"/>
  <c r="J73" i="5" s="1"/>
  <c r="M6" i="10" s="1"/>
  <c r="N6" i="10" s="1"/>
  <c r="N8" i="10" s="1"/>
  <c r="M8" i="10" s="1"/>
  <c r="J48" i="5"/>
  <c r="J67" i="5" s="1"/>
  <c r="Q7" i="10" l="1"/>
  <c r="R7" i="10" s="1"/>
  <c r="Q5" i="10"/>
  <c r="R5" i="10" s="1"/>
  <c r="Q6" i="10"/>
  <c r="D67" i="5"/>
  <c r="D73" i="5" s="1"/>
  <c r="C73" i="5" s="1"/>
  <c r="C6" i="10" s="1"/>
  <c r="D6" i="10" s="1"/>
  <c r="D8" i="10" s="1"/>
  <c r="C8" i="10" s="1"/>
  <c r="C58" i="5"/>
  <c r="C67" i="5" s="1"/>
  <c r="R6" i="10" l="1"/>
  <c r="R8" i="10" s="1"/>
  <c r="Q8" i="10" s="1"/>
  <c r="K5" i="6" s="1"/>
  <c r="L5" i="6" s="1"/>
  <c r="L7" i="6" s="1"/>
  <c r="K7" i="6" s="1"/>
  <c r="J6" i="7" s="1"/>
  <c r="K6" i="7" s="1"/>
  <c r="K7" i="7" s="1"/>
  <c r="J7" i="7" s="1"/>
  <c r="A28" i="9"/>
  <c r="D7" i="9" s="1"/>
  <c r="G5" i="10"/>
  <c r="G7" i="10"/>
  <c r="H7" i="10" s="1"/>
  <c r="G6" i="10"/>
  <c r="H6" i="10" l="1"/>
  <c r="A25" i="9"/>
  <c r="D5" i="9" s="1"/>
  <c r="D14" i="9" s="1"/>
  <c r="H5" i="10"/>
  <c r="C5" i="6"/>
  <c r="B15" i="9" l="1"/>
  <c r="B16" i="9" s="1"/>
  <c r="D16" i="9"/>
  <c r="D5" i="6"/>
  <c r="D7" i="6" s="1"/>
  <c r="C7" i="6" s="1"/>
  <c r="C6" i="7" s="1"/>
  <c r="D6" i="7" s="1"/>
  <c r="D7" i="7" s="1"/>
  <c r="B7" i="12"/>
  <c r="H8" i="10"/>
  <c r="G8" i="10" s="1"/>
  <c r="C7" i="7" l="1"/>
  <c r="B3" i="12"/>
  <c r="B8" i="12" s="1"/>
</calcChain>
</file>

<file path=xl/sharedStrings.xml><?xml version="1.0" encoding="utf-8"?>
<sst xmlns="http://schemas.openxmlformats.org/spreadsheetml/2006/main" count="538" uniqueCount="217">
  <si>
    <t xml:space="preserve">Capital </t>
  </si>
  <si>
    <t>Effectif</t>
  </si>
  <si>
    <t xml:space="preserve">Frais d'enlèvements </t>
  </si>
  <si>
    <t xml:space="preserve">Tableau de répartition des matières premières </t>
  </si>
  <si>
    <t>Caoutchouc</t>
  </si>
  <si>
    <t>Acier</t>
  </si>
  <si>
    <t>Bois</t>
  </si>
  <si>
    <t>Vis</t>
  </si>
  <si>
    <t xml:space="preserve">Peinture Acier </t>
  </si>
  <si>
    <t xml:space="preserve">Tables </t>
  </si>
  <si>
    <t>Chaises</t>
  </si>
  <si>
    <t xml:space="preserve">Charges non incorporables </t>
  </si>
  <si>
    <t>Table</t>
  </si>
  <si>
    <t>Tableau de répartition des charges indirectes</t>
  </si>
  <si>
    <t xml:space="preserve">Matière </t>
  </si>
  <si>
    <t>Quantité</t>
  </si>
  <si>
    <t xml:space="preserve">Prix unitaire </t>
  </si>
  <si>
    <t>Peinture Bois</t>
  </si>
  <si>
    <t>Stocks au 1er mars 2007</t>
  </si>
  <si>
    <t>Matière</t>
  </si>
  <si>
    <t>Peinture acier</t>
  </si>
  <si>
    <t>Peinture bois</t>
  </si>
  <si>
    <t>Prix unitaire</t>
  </si>
  <si>
    <t xml:space="preserve">Chaise </t>
  </si>
  <si>
    <t xml:space="preserve">Produits finis </t>
  </si>
  <si>
    <t xml:space="preserve">Produits </t>
  </si>
  <si>
    <t xml:space="preserve">Prix Unitaire </t>
  </si>
  <si>
    <t>Chaise</t>
  </si>
  <si>
    <t>Consommation</t>
  </si>
  <si>
    <t>Quantité en Kg</t>
  </si>
  <si>
    <t>Main D'œuvre directe</t>
  </si>
  <si>
    <t>Découpe</t>
  </si>
  <si>
    <t xml:space="preserve">Soudure </t>
  </si>
  <si>
    <t>Scierie</t>
  </si>
  <si>
    <t>Polissage</t>
  </si>
  <si>
    <t>Assemblage</t>
  </si>
  <si>
    <t>Q</t>
  </si>
  <si>
    <t>PU</t>
  </si>
  <si>
    <t>M</t>
  </si>
  <si>
    <t>Prix des MP achetés</t>
  </si>
  <si>
    <t xml:space="preserve">Frais indirectes D'approvisionnement </t>
  </si>
  <si>
    <t xml:space="preserve">Cout d'achat </t>
  </si>
  <si>
    <t xml:space="preserve">Prix des MP achetés </t>
  </si>
  <si>
    <t>Elément</t>
  </si>
  <si>
    <t>SI</t>
  </si>
  <si>
    <t xml:space="preserve">Achats </t>
  </si>
  <si>
    <t>Total</t>
  </si>
  <si>
    <t xml:space="preserve">Elément </t>
  </si>
  <si>
    <t>SF</t>
  </si>
  <si>
    <t>Mali</t>
  </si>
  <si>
    <t xml:space="preserve">Inventaire permanent Bois </t>
  </si>
  <si>
    <t>Achats</t>
  </si>
  <si>
    <t xml:space="preserve">Inventaire permanent Caoutchouc </t>
  </si>
  <si>
    <t xml:space="preserve">Inventaire permanent peinture Acier </t>
  </si>
  <si>
    <t>Inventaire permanent peinture bois</t>
  </si>
  <si>
    <t>Prix d'achat MP cons :Acier</t>
  </si>
  <si>
    <t>MOD</t>
  </si>
  <si>
    <t xml:space="preserve">Charge indirecte découpe </t>
  </si>
  <si>
    <t xml:space="preserve">Cout de production </t>
  </si>
  <si>
    <t xml:space="preserve">Cout de production PSF consommé : Acier de table </t>
  </si>
  <si>
    <t xml:space="preserve">Charges indirectes soudure </t>
  </si>
  <si>
    <t xml:space="preserve">Cout de production PSF consommé : Acier de chaise </t>
  </si>
  <si>
    <t xml:space="preserve">Cout de production PSF consommé : cadre de table </t>
  </si>
  <si>
    <t xml:space="preserve">Prix D'achat MP conso : peinture acier </t>
  </si>
  <si>
    <t xml:space="preserve">Charges indirectes peinture acier </t>
  </si>
  <si>
    <t xml:space="preserve">Cout de production PSF consommé : cadre de chaise </t>
  </si>
  <si>
    <t>Cout de production</t>
  </si>
  <si>
    <t xml:space="preserve">Cout de production  </t>
  </si>
  <si>
    <t xml:space="preserve">Cout d'achat MP conso : Bois </t>
  </si>
  <si>
    <t xml:space="preserve">MOD </t>
  </si>
  <si>
    <t xml:space="preserve">Charges indirectes de scierie </t>
  </si>
  <si>
    <t>Frais d'enlèvement</t>
  </si>
  <si>
    <t xml:space="preserve">Cout de production PSF consommé : Bois de table </t>
  </si>
  <si>
    <t xml:space="preserve">Charges indirectes Polissage </t>
  </si>
  <si>
    <t xml:space="preserve">Cout de production PSF consommé : Bois de chaise </t>
  </si>
  <si>
    <t xml:space="preserve">Cout de production PSF consommé : bois de chaise </t>
  </si>
  <si>
    <t xml:space="preserve">Prix d'achat des MP conso : peinture bois </t>
  </si>
  <si>
    <t xml:space="preserve">Charges indirectes peinture bois </t>
  </si>
  <si>
    <t xml:space="preserve">En-cours initial </t>
  </si>
  <si>
    <t xml:space="preserve">Cout de production PSF conso : cadre de table peint </t>
  </si>
  <si>
    <t xml:space="preserve">Cout de production PSF conso : bois de table polit et peint </t>
  </si>
  <si>
    <t xml:space="preserve">Prix d'achat des MP conso : Vis </t>
  </si>
  <si>
    <t xml:space="preserve">Charges indirectes Assemblage </t>
  </si>
  <si>
    <t xml:space="preserve">En-cours final </t>
  </si>
  <si>
    <t xml:space="preserve">Prix d'achat des MP conso : Caoutchouc </t>
  </si>
  <si>
    <t xml:space="preserve">Cout de production PSF conso : cadre de chaise peint </t>
  </si>
  <si>
    <t xml:space="preserve">Cout de production PSF conso : bois de chaise polit </t>
  </si>
  <si>
    <t xml:space="preserve">Inventaire Permanent produit table </t>
  </si>
  <si>
    <t xml:space="preserve">Inventaire permanent produit chaise </t>
  </si>
  <si>
    <t xml:space="preserve">Frais de distribution </t>
  </si>
  <si>
    <t xml:space="preserve">Cout de revient </t>
  </si>
  <si>
    <t xml:space="preserve">Prix de vente </t>
  </si>
  <si>
    <t xml:space="preserve">Résultat analytique d'exploitation </t>
  </si>
  <si>
    <t xml:space="preserve">Résultat analytique : tables </t>
  </si>
  <si>
    <t xml:space="preserve">Résultat analytique : chaises </t>
  </si>
  <si>
    <t xml:space="preserve">Chaises </t>
  </si>
  <si>
    <t xml:space="preserve">Production du mois </t>
  </si>
  <si>
    <t xml:space="preserve">Découpe d'acier </t>
  </si>
  <si>
    <t xml:space="preserve">Polissage de bois </t>
  </si>
  <si>
    <t xml:space="preserve">Peinture bois </t>
  </si>
  <si>
    <t xml:space="preserve">Vente du mois </t>
  </si>
  <si>
    <t>Stocks réels au 31/03/2007</t>
  </si>
  <si>
    <t xml:space="preserve">Vis </t>
  </si>
  <si>
    <t xml:space="preserve">Caoutchouc </t>
  </si>
  <si>
    <t>Q En (KG)</t>
  </si>
  <si>
    <t>Matières Premières</t>
  </si>
  <si>
    <t xml:space="preserve">Unités </t>
  </si>
  <si>
    <t xml:space="preserve">En-cours </t>
  </si>
  <si>
    <t xml:space="preserve">Montant </t>
  </si>
  <si>
    <t xml:space="preserve">Charges indirectes </t>
  </si>
  <si>
    <t>charges Incorpo.</t>
  </si>
  <si>
    <t xml:space="preserve">Charges supplétives </t>
  </si>
  <si>
    <t xml:space="preserve">TOTAL rep primaire </t>
  </si>
  <si>
    <t xml:space="preserve">Sec. Auxiliaires </t>
  </si>
  <si>
    <t>Admin</t>
  </si>
  <si>
    <t xml:space="preserve">Entretien </t>
  </si>
  <si>
    <t xml:space="preserve">Section Principales </t>
  </si>
  <si>
    <t xml:space="preserve">Découpe </t>
  </si>
  <si>
    <t xml:space="preserve">Scierie </t>
  </si>
  <si>
    <t xml:space="preserve">Polissage </t>
  </si>
  <si>
    <t xml:space="preserve">Assemblage </t>
  </si>
  <si>
    <t xml:space="preserve">Distribution </t>
  </si>
  <si>
    <t xml:space="preserve">Répartition secondaire </t>
  </si>
  <si>
    <t xml:space="preserve">Admin </t>
  </si>
  <si>
    <t xml:space="preserve">Total Rep secondaire </t>
  </si>
  <si>
    <t xml:space="preserve">Nature unité d'œuvre </t>
  </si>
  <si>
    <t xml:space="preserve">Nombre </t>
  </si>
  <si>
    <t>Cout d'unité d'œuvre</t>
  </si>
  <si>
    <t xml:space="preserve">Kg MP achetées </t>
  </si>
  <si>
    <t>H MOD</t>
  </si>
  <si>
    <t xml:space="preserve">H MOD </t>
  </si>
  <si>
    <t>100dh C.A</t>
  </si>
  <si>
    <t>A=</t>
  </si>
  <si>
    <t>__</t>
  </si>
  <si>
    <t>Inventaire permanent Acier</t>
  </si>
  <si>
    <t>Inventaire permanent VIS</t>
  </si>
  <si>
    <t>-</t>
  </si>
  <si>
    <t xml:space="preserve">Nature </t>
  </si>
  <si>
    <t>Charges indirectes</t>
  </si>
  <si>
    <t>Charges incorporables</t>
  </si>
  <si>
    <t>Charges non incorporables</t>
  </si>
  <si>
    <t>Charges de la comptabilité générale</t>
  </si>
  <si>
    <t xml:space="preserve">Charges </t>
  </si>
  <si>
    <t xml:space="preserve">Achat de MP </t>
  </si>
  <si>
    <t xml:space="preserve">Ventes PF : Tables et chaises </t>
  </si>
  <si>
    <t xml:space="preserve">Autres charges </t>
  </si>
  <si>
    <t xml:space="preserve">Total des charges </t>
  </si>
  <si>
    <t xml:space="preserve">Total des produits </t>
  </si>
  <si>
    <t xml:space="preserve">Résultats C.G Bénéfice </t>
  </si>
  <si>
    <t xml:space="preserve">Total </t>
  </si>
  <si>
    <t xml:space="preserve">Variation stock des en-cours tables </t>
  </si>
  <si>
    <t xml:space="preserve">Variation stock des en-cours chaises </t>
  </si>
  <si>
    <t>Variation stock Tables : (2)</t>
  </si>
  <si>
    <t>Variation stock Chaises : (3)</t>
  </si>
  <si>
    <t>Rémunération du capital</t>
  </si>
  <si>
    <t>Tables : Heures</t>
  </si>
  <si>
    <t xml:space="preserve">Dhs/H </t>
  </si>
  <si>
    <t xml:space="preserve">Chaises : Heures </t>
  </si>
  <si>
    <t>Dhs/H</t>
  </si>
  <si>
    <t>=</t>
  </si>
  <si>
    <t>E=</t>
  </si>
  <si>
    <t>Préstation réciproque</t>
  </si>
  <si>
    <t>Cadre soudé</t>
  </si>
  <si>
    <t>Cadre soudé et peint</t>
  </si>
  <si>
    <t>Scierie de bois</t>
  </si>
  <si>
    <t>Assmeblage</t>
  </si>
  <si>
    <t xml:space="preserve">Coût d'achat acier </t>
  </si>
  <si>
    <t xml:space="preserve">Coût d'achat peinture bois </t>
  </si>
  <si>
    <t xml:space="preserve">Coût d'achat bois </t>
  </si>
  <si>
    <t xml:space="preserve">Coût d'achat caoutchouc </t>
  </si>
  <si>
    <t>En-cours</t>
  </si>
  <si>
    <t>Achats du mois</t>
  </si>
  <si>
    <t xml:space="preserve">Coût de production découpe - Acier de table </t>
  </si>
  <si>
    <t xml:space="preserve">Coût de production découpe - Acier de chaise </t>
  </si>
  <si>
    <t xml:space="preserve">Coût de production soudure - Cadre de table </t>
  </si>
  <si>
    <t xml:space="preserve">Coût de production soudure - Cadre de chaise </t>
  </si>
  <si>
    <t xml:space="preserve">Coût de production peinture acier - cadre de table peint </t>
  </si>
  <si>
    <t xml:space="preserve">Coût de production peinture acier - cadre de chaise peint </t>
  </si>
  <si>
    <t xml:space="preserve">Coût de production Scierie - Bois de table </t>
  </si>
  <si>
    <t xml:space="preserve">Coût de production Scierie - Bois de chaise </t>
  </si>
  <si>
    <t xml:space="preserve">Coût de production Polissage - Bois de table polit </t>
  </si>
  <si>
    <t>Coût de production Polissage - Bois de chaise polit (traité)</t>
  </si>
  <si>
    <t>Coût de production peinture bois - Bois de table polit et peint (traité)</t>
  </si>
  <si>
    <t xml:space="preserve">Coût de production Assemblage - produit fini table </t>
  </si>
  <si>
    <t xml:space="preserve">Coût de production Assemblage - produit fini chaise </t>
  </si>
  <si>
    <t xml:space="preserve">Coût de revient tables </t>
  </si>
  <si>
    <t xml:space="preserve">Coût de revient chaises </t>
  </si>
  <si>
    <t>Données de l'énoncé :</t>
  </si>
  <si>
    <t>Production</t>
  </si>
  <si>
    <t>Vente</t>
  </si>
  <si>
    <t xml:space="preserve">Coût de production </t>
  </si>
  <si>
    <t xml:space="preserve">Coût de revient </t>
  </si>
  <si>
    <t>Sections Auxilliaires</t>
  </si>
  <si>
    <t>Charges supplétives</t>
  </si>
  <si>
    <t>Variation de stock MP [1]</t>
  </si>
  <si>
    <t>[1] = Stock Initial - Stock Final</t>
  </si>
  <si>
    <t>[2] Stock Final - Stock Initial</t>
  </si>
  <si>
    <t>[3] Stock Final - Stock Initial</t>
  </si>
  <si>
    <t>Résultat analytique global</t>
  </si>
  <si>
    <t>Produits non incorporés</t>
  </si>
  <si>
    <t>Différence d'inventaire</t>
  </si>
  <si>
    <t>Résultat Comptabilité Générale</t>
  </si>
  <si>
    <t>Peinture Acier</t>
  </si>
  <si>
    <t>Sections Principales</t>
  </si>
  <si>
    <t>Administration</t>
  </si>
  <si>
    <t>Entretien</t>
  </si>
  <si>
    <t>Approvisionnement</t>
  </si>
  <si>
    <t>Soudure</t>
  </si>
  <si>
    <t>Distribution</t>
  </si>
  <si>
    <t xml:space="preserve">Répartition des Charges Supplétives </t>
  </si>
  <si>
    <t>Nature Unité D'œuvre</t>
  </si>
  <si>
    <t>KG MP Achetées</t>
  </si>
  <si>
    <t>H.MOD</t>
  </si>
  <si>
    <t>100DHS/CA</t>
  </si>
  <si>
    <t>Concordance</t>
  </si>
  <si>
    <t>A=61200+ 0,1 E</t>
  </si>
  <si>
    <t>E=30000+0,2A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</si>
</sst>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20"/>
      <color theme="1"/>
      <name val="Aharoni"/>
      <charset val="177"/>
    </font>
    <font>
      <u/>
      <sz val="20"/>
      <color theme="1"/>
      <name val="Aharoni"/>
      <charset val="177"/>
    </font>
    <font>
      <b/>
      <sz val="18"/>
      <color theme="6" tint="-0.499984740745262"/>
      <name val="Times New Roman"/>
      <family val="1"/>
    </font>
    <font>
      <b/>
      <sz val="12"/>
      <color theme="6" tint="-0.499984740745262"/>
      <name val="Times New Roman"/>
      <family val="1"/>
    </font>
    <font>
      <sz val="18"/>
      <color theme="6" tint="-0.499984740745262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2" fontId="2" fillId="0" borderId="1" xfId="0" applyNumberFormat="1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4" borderId="0" xfId="0" applyFill="1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9" xfId="0" applyBorder="1"/>
    <xf numFmtId="0" fontId="0" fillId="0" borderId="9" xfId="0" applyFont="1" applyBorder="1"/>
    <xf numFmtId="2" fontId="0" fillId="0" borderId="0" xfId="0" applyNumberFormat="1" applyFont="1" applyBorder="1"/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4" fillId="0" borderId="0" xfId="0" applyFont="1" applyAlignment="1"/>
    <xf numFmtId="0" fontId="3" fillId="0" borderId="0" xfId="0" applyFont="1" applyAlignment="1"/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43" fontId="2" fillId="0" borderId="1" xfId="2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/>
    </xf>
    <xf numFmtId="0" fontId="0" fillId="0" borderId="12" xfId="0" applyBorder="1"/>
    <xf numFmtId="0" fontId="3" fillId="0" borderId="12" xfId="0" applyFont="1" applyBorder="1" applyAlignment="1"/>
    <xf numFmtId="0" fontId="4" fillId="0" borderId="14" xfId="0" applyFont="1" applyBorder="1" applyAlignment="1">
      <alignment horizontal="center"/>
    </xf>
    <xf numFmtId="0" fontId="3" fillId="0" borderId="15" xfId="0" applyFont="1" applyBorder="1" applyAlignment="1"/>
    <xf numFmtId="0" fontId="2" fillId="2" borderId="16" xfId="0" applyFont="1" applyFill="1" applyBorder="1" applyAlignment="1">
      <alignment horizontal="center" vertical="center"/>
    </xf>
    <xf numFmtId="0" fontId="0" fillId="0" borderId="15" xfId="0" applyBorder="1"/>
    <xf numFmtId="0" fontId="2" fillId="2" borderId="17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0" fillId="0" borderId="14" xfId="0" applyBorder="1"/>
    <xf numFmtId="0" fontId="2" fillId="3" borderId="17" xfId="0" applyFont="1" applyFill="1" applyBorder="1" applyAlignment="1">
      <alignment horizontal="center" vertical="center"/>
    </xf>
    <xf numFmtId="0" fontId="0" fillId="0" borderId="22" xfId="0" applyBorder="1"/>
    <xf numFmtId="0" fontId="2" fillId="3" borderId="19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14" xfId="0" applyFont="1" applyBorder="1" applyAlignment="1"/>
    <xf numFmtId="0" fontId="4" fillId="0" borderId="0" xfId="0" applyFont="1" applyBorder="1" applyAlignment="1"/>
    <xf numFmtId="0" fontId="4" fillId="0" borderId="15" xfId="0" applyFont="1" applyBorder="1" applyAlignment="1"/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9" fontId="2" fillId="0" borderId="19" xfId="1" applyNumberFormat="1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9" fontId="0" fillId="0" borderId="21" xfId="0" applyNumberFormat="1" applyBorder="1" applyAlignment="1">
      <alignment horizontal="center"/>
    </xf>
    <xf numFmtId="2" fontId="0" fillId="0" borderId="14" xfId="0" applyNumberFormat="1" applyFont="1" applyBorder="1"/>
    <xf numFmtId="2" fontId="8" fillId="5" borderId="16" xfId="0" applyNumberFormat="1" applyFont="1" applyFill="1" applyBorder="1"/>
    <xf numFmtId="0" fontId="8" fillId="5" borderId="18" xfId="0" applyFont="1" applyFill="1" applyBorder="1"/>
    <xf numFmtId="0" fontId="0" fillId="0" borderId="30" xfId="0" applyBorder="1"/>
    <xf numFmtId="0" fontId="2" fillId="2" borderId="17" xfId="0" applyFont="1" applyFill="1" applyBorder="1" applyAlignment="1">
      <alignment vertic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23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2" fontId="0" fillId="0" borderId="0" xfId="0" applyNumberFormat="1"/>
    <xf numFmtId="2" fontId="0" fillId="0" borderId="1" xfId="0" applyNumberFormat="1" applyBorder="1"/>
    <xf numFmtId="0" fontId="2" fillId="2" borderId="3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2" fontId="2" fillId="0" borderId="40" xfId="0" applyNumberFormat="1" applyFont="1" applyBorder="1" applyAlignment="1">
      <alignment horizontal="center" vertical="center"/>
    </xf>
    <xf numFmtId="2" fontId="2" fillId="0" borderId="39" xfId="0" applyNumberFormat="1" applyFont="1" applyBorder="1" applyAlignment="1">
      <alignment horizontal="center" vertical="center"/>
    </xf>
    <xf numFmtId="2" fontId="8" fillId="0" borderId="19" xfId="0" applyNumberFormat="1" applyFont="1" applyBorder="1"/>
    <xf numFmtId="2" fontId="8" fillId="0" borderId="1" xfId="0" applyNumberFormat="1" applyFont="1" applyBorder="1"/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32" xfId="0" applyNumberFormat="1" applyFont="1" applyBorder="1" applyAlignment="1">
      <alignment horizontal="center" vertical="center"/>
    </xf>
    <xf numFmtId="2" fontId="2" fillId="0" borderId="33" xfId="0" applyNumberFormat="1" applyFont="1" applyBorder="1" applyAlignment="1">
      <alignment horizontal="center" vertical="center"/>
    </xf>
    <xf numFmtId="2" fontId="2" fillId="0" borderId="34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3" borderId="17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2" borderId="3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2" fontId="2" fillId="0" borderId="36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"/>
  <sheetViews>
    <sheetView topLeftCell="A23" zoomScale="60" zoomScaleNormal="60" workbookViewId="0">
      <selection activeCell="D62" sqref="D62"/>
    </sheetView>
  </sheetViews>
  <sheetFormatPr baseColWidth="10" defaultRowHeight="15" x14ac:dyDescent="0.25"/>
  <cols>
    <col min="1" max="1" width="43" customWidth="1"/>
    <col min="2" max="2" width="27" customWidth="1"/>
    <col min="3" max="3" width="15.140625" customWidth="1"/>
    <col min="4" max="4" width="19.85546875" customWidth="1"/>
    <col min="5" max="5" width="22.42578125" customWidth="1"/>
    <col min="6" max="6" width="25.42578125" customWidth="1"/>
    <col min="7" max="7" width="14.140625" customWidth="1"/>
    <col min="8" max="8" width="22.5703125" customWidth="1"/>
    <col min="9" max="9" width="19.42578125" customWidth="1"/>
    <col min="10" max="10" width="25.85546875" customWidth="1"/>
    <col min="11" max="11" width="17" bestFit="1" customWidth="1"/>
    <col min="12" max="12" width="15.85546875" customWidth="1"/>
    <col min="13" max="13" width="15.7109375" customWidth="1"/>
    <col min="14" max="14" width="8.85546875" customWidth="1"/>
    <col min="17" max="17" width="15.28515625" customWidth="1"/>
  </cols>
  <sheetData>
    <row r="1" spans="1:19" ht="26.25" customHeight="1" x14ac:dyDescent="0.4">
      <c r="A1" s="104" t="s">
        <v>187</v>
      </c>
      <c r="B1" s="105"/>
      <c r="D1" s="104" t="s">
        <v>171</v>
      </c>
      <c r="E1" s="106"/>
      <c r="F1" s="107"/>
      <c r="H1" s="111" t="s">
        <v>18</v>
      </c>
      <c r="I1" s="100"/>
      <c r="J1" s="100"/>
      <c r="K1" s="43"/>
      <c r="L1" s="44"/>
      <c r="M1" s="44"/>
      <c r="N1" s="44"/>
      <c r="O1" s="100" t="s">
        <v>24</v>
      </c>
      <c r="P1" s="100"/>
      <c r="Q1" s="101"/>
      <c r="R1" s="30"/>
      <c r="S1" s="30"/>
    </row>
    <row r="2" spans="1:19" ht="15.75" customHeight="1" x14ac:dyDescent="0.4">
      <c r="A2" s="47" t="s">
        <v>0</v>
      </c>
      <c r="B2" s="50">
        <f>(P18*Q18)+(P19*Q19)</f>
        <v>18000000</v>
      </c>
      <c r="D2" s="108"/>
      <c r="E2" s="109"/>
      <c r="F2" s="110"/>
      <c r="H2" s="112"/>
      <c r="I2" s="99"/>
      <c r="J2" s="99"/>
      <c r="K2" s="19"/>
      <c r="L2" s="99" t="s">
        <v>170</v>
      </c>
      <c r="M2" s="99"/>
      <c r="N2" s="41"/>
      <c r="O2" s="99"/>
      <c r="P2" s="99"/>
      <c r="Q2" s="102"/>
      <c r="R2" s="30"/>
      <c r="S2" s="30"/>
    </row>
    <row r="3" spans="1:19" ht="26.25" x14ac:dyDescent="0.4">
      <c r="A3" s="47" t="s">
        <v>1</v>
      </c>
      <c r="B3" s="50">
        <v>700</v>
      </c>
      <c r="D3" s="55"/>
      <c r="E3" s="19"/>
      <c r="F3" s="48"/>
      <c r="H3" s="45"/>
      <c r="I3" s="42"/>
      <c r="J3" s="42"/>
      <c r="K3" s="19"/>
      <c r="L3" s="99"/>
      <c r="M3" s="99"/>
      <c r="N3" s="41"/>
      <c r="O3" s="41"/>
      <c r="P3" s="41"/>
      <c r="Q3" s="46"/>
      <c r="R3" s="30"/>
      <c r="S3" s="30"/>
    </row>
    <row r="4" spans="1:19" ht="15.75" x14ac:dyDescent="0.25">
      <c r="A4" s="47" t="s">
        <v>2</v>
      </c>
      <c r="B4" s="50">
        <v>4252</v>
      </c>
      <c r="D4" s="47" t="s">
        <v>14</v>
      </c>
      <c r="E4" s="16" t="s">
        <v>29</v>
      </c>
      <c r="F4" s="49" t="s">
        <v>16</v>
      </c>
      <c r="H4" s="47" t="s">
        <v>19</v>
      </c>
      <c r="I4" s="16" t="s">
        <v>29</v>
      </c>
      <c r="J4" s="16" t="s">
        <v>22</v>
      </c>
      <c r="K4" s="19"/>
      <c r="L4" s="19"/>
      <c r="M4" s="19"/>
      <c r="N4" s="19"/>
      <c r="O4" s="19"/>
      <c r="P4" s="19"/>
      <c r="Q4" s="48"/>
    </row>
    <row r="5" spans="1:19" ht="15.75" x14ac:dyDescent="0.25">
      <c r="A5" s="47" t="s">
        <v>11</v>
      </c>
      <c r="B5" s="68">
        <v>12750</v>
      </c>
      <c r="D5" s="47" t="s">
        <v>5</v>
      </c>
      <c r="E5" s="17">
        <v>16000</v>
      </c>
      <c r="F5" s="50">
        <v>15</v>
      </c>
      <c r="H5" s="47" t="s">
        <v>5</v>
      </c>
      <c r="I5" s="17">
        <v>3500</v>
      </c>
      <c r="J5" s="17">
        <v>18</v>
      </c>
      <c r="K5" s="19"/>
      <c r="L5" s="16" t="s">
        <v>12</v>
      </c>
      <c r="M5" s="17">
        <v>8402</v>
      </c>
      <c r="N5" s="19"/>
      <c r="O5" s="16" t="s">
        <v>25</v>
      </c>
      <c r="P5" s="16" t="s">
        <v>15</v>
      </c>
      <c r="Q5" s="49" t="s">
        <v>26</v>
      </c>
    </row>
    <row r="6" spans="1:19" ht="16.5" thickBot="1" x14ac:dyDescent="0.3">
      <c r="A6" s="69" t="s">
        <v>154</v>
      </c>
      <c r="B6" s="70">
        <v>0.1</v>
      </c>
      <c r="D6" s="47" t="s">
        <v>6</v>
      </c>
      <c r="E6" s="17">
        <v>50000</v>
      </c>
      <c r="F6" s="50">
        <v>120</v>
      </c>
      <c r="H6" s="47" t="s">
        <v>6</v>
      </c>
      <c r="I6" s="17">
        <v>5000</v>
      </c>
      <c r="J6" s="17">
        <v>122</v>
      </c>
      <c r="K6" s="19"/>
      <c r="L6" s="16" t="s">
        <v>23</v>
      </c>
      <c r="M6" s="17">
        <v>3718</v>
      </c>
      <c r="N6" s="19"/>
      <c r="O6" s="16" t="s">
        <v>12</v>
      </c>
      <c r="P6" s="17">
        <v>300</v>
      </c>
      <c r="Q6" s="50">
        <v>1750</v>
      </c>
    </row>
    <row r="7" spans="1:19" ht="15.75" x14ac:dyDescent="0.25">
      <c r="D7" s="47" t="s">
        <v>4</v>
      </c>
      <c r="E7" s="17">
        <v>500</v>
      </c>
      <c r="F7" s="50">
        <v>100</v>
      </c>
      <c r="H7" s="47" t="s">
        <v>7</v>
      </c>
      <c r="I7" s="17">
        <v>1800</v>
      </c>
      <c r="J7" s="17">
        <v>17</v>
      </c>
      <c r="K7" s="19"/>
      <c r="L7" s="19"/>
      <c r="M7" s="19"/>
      <c r="N7" s="19"/>
      <c r="O7" s="16" t="s">
        <v>27</v>
      </c>
      <c r="P7" s="17">
        <v>300</v>
      </c>
      <c r="Q7" s="50">
        <v>750</v>
      </c>
    </row>
    <row r="8" spans="1:19" ht="16.5" thickBot="1" x14ac:dyDescent="0.3">
      <c r="D8" s="51" t="s">
        <v>17</v>
      </c>
      <c r="E8" s="52">
        <v>2500</v>
      </c>
      <c r="F8" s="59">
        <v>170</v>
      </c>
      <c r="H8" s="47" t="s">
        <v>4</v>
      </c>
      <c r="I8" s="17">
        <v>250</v>
      </c>
      <c r="J8" s="17">
        <v>90</v>
      </c>
      <c r="K8" s="19"/>
      <c r="L8" s="19"/>
      <c r="M8" s="19"/>
      <c r="N8" s="19"/>
      <c r="O8" s="19"/>
      <c r="P8" s="19"/>
      <c r="Q8" s="48"/>
    </row>
    <row r="9" spans="1:19" ht="15" customHeight="1" x14ac:dyDescent="0.25">
      <c r="H9" s="47" t="s">
        <v>20</v>
      </c>
      <c r="I9" s="17">
        <v>3000</v>
      </c>
      <c r="J9" s="17">
        <v>150</v>
      </c>
      <c r="K9" s="19"/>
      <c r="L9" s="19"/>
      <c r="M9" s="19"/>
      <c r="N9" s="19"/>
      <c r="O9" s="19"/>
      <c r="P9" s="19"/>
      <c r="Q9" s="48"/>
    </row>
    <row r="10" spans="1:19" ht="15" customHeight="1" thickBot="1" x14ac:dyDescent="0.3">
      <c r="H10" s="51" t="s">
        <v>21</v>
      </c>
      <c r="I10" s="52">
        <v>500</v>
      </c>
      <c r="J10" s="52">
        <v>180</v>
      </c>
      <c r="K10" s="53"/>
      <c r="L10" s="53"/>
      <c r="M10" s="53"/>
      <c r="N10" s="53"/>
      <c r="O10" s="53"/>
      <c r="P10" s="53"/>
      <c r="Q10" s="54"/>
    </row>
    <row r="12" spans="1:19" ht="15.75" thickBot="1" x14ac:dyDescent="0.3"/>
    <row r="13" spans="1:19" ht="26.25" customHeight="1" x14ac:dyDescent="0.4">
      <c r="A13" s="104" t="s">
        <v>28</v>
      </c>
      <c r="B13" s="107"/>
      <c r="D13" s="111" t="s">
        <v>3</v>
      </c>
      <c r="E13" s="100"/>
      <c r="F13" s="100"/>
      <c r="G13" s="100"/>
      <c r="H13" s="101"/>
      <c r="I13" s="29"/>
      <c r="J13" s="104" t="s">
        <v>96</v>
      </c>
      <c r="K13" s="106"/>
      <c r="L13" s="107"/>
      <c r="M13" s="29"/>
      <c r="N13" s="104" t="s">
        <v>100</v>
      </c>
      <c r="O13" s="106"/>
      <c r="P13" s="106"/>
      <c r="Q13" s="106"/>
      <c r="R13" s="107"/>
    </row>
    <row r="14" spans="1:19" ht="15" customHeight="1" x14ac:dyDescent="0.4">
      <c r="A14" s="108"/>
      <c r="B14" s="110"/>
      <c r="C14" s="29"/>
      <c r="D14" s="112"/>
      <c r="E14" s="99"/>
      <c r="F14" s="99"/>
      <c r="G14" s="99"/>
      <c r="H14" s="102"/>
      <c r="I14" s="29"/>
      <c r="J14" s="108"/>
      <c r="K14" s="109"/>
      <c r="L14" s="110"/>
      <c r="M14" s="29"/>
      <c r="N14" s="108"/>
      <c r="O14" s="109"/>
      <c r="P14" s="109"/>
      <c r="Q14" s="109"/>
      <c r="R14" s="110"/>
    </row>
    <row r="15" spans="1:19" ht="15" customHeight="1" x14ac:dyDescent="0.4">
      <c r="A15" s="55"/>
      <c r="B15" s="48"/>
      <c r="D15" s="60"/>
      <c r="E15" s="61"/>
      <c r="F15" s="61"/>
      <c r="G15" s="61"/>
      <c r="H15" s="62"/>
      <c r="I15" s="29"/>
      <c r="J15" s="60"/>
      <c r="K15" s="61"/>
      <c r="L15" s="62"/>
      <c r="M15" s="29"/>
      <c r="N15" s="108"/>
      <c r="O15" s="109"/>
      <c r="P15" s="109"/>
      <c r="Q15" s="109"/>
      <c r="R15" s="110"/>
    </row>
    <row r="16" spans="1:19" ht="15" customHeight="1" x14ac:dyDescent="0.25">
      <c r="A16" s="47" t="s">
        <v>19</v>
      </c>
      <c r="B16" s="49" t="s">
        <v>29</v>
      </c>
      <c r="D16" s="47"/>
      <c r="E16" s="16" t="s">
        <v>9</v>
      </c>
      <c r="F16" s="16" t="s">
        <v>10</v>
      </c>
      <c r="G16" s="19"/>
      <c r="H16" s="48"/>
      <c r="J16" s="55"/>
      <c r="K16" s="19"/>
      <c r="L16" s="48"/>
      <c r="N16" s="55"/>
      <c r="O16" s="19"/>
      <c r="P16" s="19"/>
      <c r="Q16" s="19"/>
      <c r="R16" s="48"/>
    </row>
    <row r="17" spans="1:18" ht="15.75" x14ac:dyDescent="0.25">
      <c r="A17" s="47" t="s">
        <v>5</v>
      </c>
      <c r="B17" s="50">
        <v>19000</v>
      </c>
      <c r="D17" s="47" t="s">
        <v>4</v>
      </c>
      <c r="E17" s="7">
        <v>0.6</v>
      </c>
      <c r="F17" s="7">
        <v>0.4</v>
      </c>
      <c r="G17" s="19"/>
      <c r="H17" s="48"/>
      <c r="J17" s="55"/>
      <c r="K17" s="124" t="s">
        <v>15</v>
      </c>
      <c r="L17" s="125"/>
      <c r="N17" s="55"/>
      <c r="O17" s="19"/>
      <c r="P17" s="18" t="s">
        <v>36</v>
      </c>
      <c r="Q17" s="18" t="s">
        <v>37</v>
      </c>
      <c r="R17" s="48"/>
    </row>
    <row r="18" spans="1:18" ht="15.75" x14ac:dyDescent="0.25">
      <c r="A18" s="47" t="s">
        <v>6</v>
      </c>
      <c r="B18" s="50">
        <v>51000</v>
      </c>
      <c r="D18" s="47" t="s">
        <v>5</v>
      </c>
      <c r="E18" s="8">
        <v>0.7</v>
      </c>
      <c r="F18" s="8">
        <v>0.3</v>
      </c>
      <c r="G18" s="19"/>
      <c r="H18" s="48"/>
      <c r="J18" s="55"/>
      <c r="K18" s="18" t="s">
        <v>9</v>
      </c>
      <c r="L18" s="56" t="s">
        <v>95</v>
      </c>
      <c r="N18" s="55"/>
      <c r="O18" s="18" t="s">
        <v>9</v>
      </c>
      <c r="P18" s="17">
        <v>6000</v>
      </c>
      <c r="Q18" s="17">
        <v>2000</v>
      </c>
      <c r="R18" s="48"/>
    </row>
    <row r="19" spans="1:18" ht="16.5" thickBot="1" x14ac:dyDescent="0.3">
      <c r="A19" s="47" t="s">
        <v>7</v>
      </c>
      <c r="B19" s="50">
        <v>750</v>
      </c>
      <c r="D19" s="47" t="s">
        <v>6</v>
      </c>
      <c r="E19" s="8">
        <v>0.6</v>
      </c>
      <c r="F19" s="8">
        <v>0.4</v>
      </c>
      <c r="G19" s="19"/>
      <c r="H19" s="48"/>
      <c r="J19" s="63" t="s">
        <v>97</v>
      </c>
      <c r="K19" s="17">
        <v>13300</v>
      </c>
      <c r="L19" s="50">
        <v>5700</v>
      </c>
      <c r="N19" s="57"/>
      <c r="O19" s="58" t="s">
        <v>95</v>
      </c>
      <c r="P19" s="52">
        <v>6000</v>
      </c>
      <c r="Q19" s="52">
        <v>1000</v>
      </c>
      <c r="R19" s="54"/>
    </row>
    <row r="20" spans="1:18" ht="15.75" x14ac:dyDescent="0.25">
      <c r="A20" s="47" t="s">
        <v>4</v>
      </c>
      <c r="B20" s="50">
        <v>650</v>
      </c>
      <c r="D20" s="47" t="s">
        <v>7</v>
      </c>
      <c r="E20" s="8">
        <v>0.5</v>
      </c>
      <c r="F20" s="8">
        <v>0.5</v>
      </c>
      <c r="G20" s="19"/>
      <c r="H20" s="48"/>
      <c r="J20" s="63" t="s">
        <v>162</v>
      </c>
      <c r="K20" s="17">
        <v>13300</v>
      </c>
      <c r="L20" s="50">
        <v>5700</v>
      </c>
    </row>
    <row r="21" spans="1:18" ht="15" customHeight="1" thickBot="1" x14ac:dyDescent="0.3">
      <c r="A21" s="47" t="s">
        <v>20</v>
      </c>
      <c r="B21" s="50">
        <v>3000</v>
      </c>
      <c r="D21" s="51" t="s">
        <v>8</v>
      </c>
      <c r="E21" s="65">
        <v>0.6</v>
      </c>
      <c r="F21" s="65">
        <v>0.4</v>
      </c>
      <c r="G21" s="53"/>
      <c r="H21" s="54"/>
      <c r="J21" s="63" t="s">
        <v>163</v>
      </c>
      <c r="K21" s="17">
        <v>13300</v>
      </c>
      <c r="L21" s="50">
        <v>5700</v>
      </c>
    </row>
    <row r="22" spans="1:18" ht="16.5" thickBot="1" x14ac:dyDescent="0.3">
      <c r="A22" s="51" t="s">
        <v>21</v>
      </c>
      <c r="B22" s="59">
        <v>2000</v>
      </c>
      <c r="J22" s="63" t="s">
        <v>164</v>
      </c>
      <c r="K22" s="17">
        <v>30600</v>
      </c>
      <c r="L22" s="50">
        <v>20400</v>
      </c>
    </row>
    <row r="23" spans="1:18" ht="15.75" x14ac:dyDescent="0.25">
      <c r="J23" s="63" t="s">
        <v>98</v>
      </c>
      <c r="K23" s="17">
        <v>30600</v>
      </c>
      <c r="L23" s="50">
        <v>20400</v>
      </c>
    </row>
    <row r="24" spans="1:18" ht="15.75" x14ac:dyDescent="0.25">
      <c r="J24" s="63" t="s">
        <v>99</v>
      </c>
      <c r="K24" s="17">
        <v>30600</v>
      </c>
      <c r="L24" s="50" t="s">
        <v>136</v>
      </c>
    </row>
    <row r="25" spans="1:18" ht="16.5" thickBot="1" x14ac:dyDescent="0.3">
      <c r="J25" s="64" t="s">
        <v>165</v>
      </c>
      <c r="K25" s="52">
        <v>6300</v>
      </c>
      <c r="L25" s="59">
        <v>6300</v>
      </c>
    </row>
    <row r="26" spans="1:18" ht="15" customHeight="1" x14ac:dyDescent="0.25"/>
    <row r="27" spans="1:18" ht="15" customHeight="1" thickBot="1" x14ac:dyDescent="0.3"/>
    <row r="28" spans="1:18" ht="15" customHeight="1" thickBot="1" x14ac:dyDescent="0.3">
      <c r="A28" s="111" t="s">
        <v>30</v>
      </c>
      <c r="B28" s="100"/>
      <c r="C28" s="100"/>
      <c r="D28" s="100"/>
      <c r="E28" s="101"/>
    </row>
    <row r="29" spans="1:18" ht="15" customHeight="1" x14ac:dyDescent="0.25">
      <c r="A29" s="112"/>
      <c r="B29" s="99"/>
      <c r="C29" s="99"/>
      <c r="D29" s="99"/>
      <c r="E29" s="102"/>
      <c r="G29" s="104" t="s">
        <v>101</v>
      </c>
      <c r="H29" s="106"/>
      <c r="I29" s="106"/>
      <c r="J29" s="106"/>
      <c r="K29" s="106"/>
      <c r="L29" s="107"/>
    </row>
    <row r="30" spans="1:18" ht="15" customHeight="1" x14ac:dyDescent="0.25">
      <c r="A30" s="112"/>
      <c r="B30" s="99"/>
      <c r="C30" s="99"/>
      <c r="D30" s="99"/>
      <c r="E30" s="102"/>
      <c r="G30" s="108"/>
      <c r="H30" s="109"/>
      <c r="I30" s="109"/>
      <c r="J30" s="109"/>
      <c r="K30" s="109"/>
      <c r="L30" s="110"/>
    </row>
    <row r="31" spans="1:18" ht="15" customHeight="1" x14ac:dyDescent="0.25">
      <c r="A31" s="55"/>
      <c r="B31" s="19"/>
      <c r="C31" s="19"/>
      <c r="D31" s="19"/>
      <c r="E31" s="48"/>
      <c r="G31" s="108"/>
      <c r="H31" s="109"/>
      <c r="I31" s="109"/>
      <c r="J31" s="109"/>
      <c r="K31" s="109"/>
      <c r="L31" s="110"/>
    </row>
    <row r="32" spans="1:18" ht="15" customHeight="1" x14ac:dyDescent="0.25">
      <c r="A32" s="122"/>
      <c r="B32" s="126" t="s">
        <v>155</v>
      </c>
      <c r="C32" s="127" t="s">
        <v>156</v>
      </c>
      <c r="D32" s="126" t="s">
        <v>157</v>
      </c>
      <c r="E32" s="103" t="s">
        <v>158</v>
      </c>
      <c r="G32" s="55"/>
      <c r="H32" s="19"/>
      <c r="I32" s="19"/>
      <c r="J32" s="19"/>
      <c r="K32" s="19"/>
      <c r="L32" s="48"/>
    </row>
    <row r="33" spans="1:13" ht="15" customHeight="1" x14ac:dyDescent="0.25">
      <c r="A33" s="123"/>
      <c r="B33" s="126"/>
      <c r="C33" s="128"/>
      <c r="D33" s="126"/>
      <c r="E33" s="103"/>
      <c r="G33" s="55"/>
      <c r="H33" s="19"/>
      <c r="I33" s="19"/>
      <c r="J33" s="19"/>
      <c r="K33" s="19"/>
      <c r="L33" s="48"/>
    </row>
    <row r="34" spans="1:13" ht="15" customHeight="1" x14ac:dyDescent="0.25">
      <c r="A34" s="66" t="s">
        <v>31</v>
      </c>
      <c r="B34" s="17">
        <v>105</v>
      </c>
      <c r="C34" s="17">
        <v>9.5</v>
      </c>
      <c r="D34" s="17">
        <v>45</v>
      </c>
      <c r="E34" s="50">
        <v>9</v>
      </c>
      <c r="G34" s="55"/>
      <c r="H34" s="18" t="s">
        <v>105</v>
      </c>
      <c r="I34" s="18" t="s">
        <v>104</v>
      </c>
      <c r="J34" s="19"/>
      <c r="K34" s="18" t="s">
        <v>24</v>
      </c>
      <c r="L34" s="56" t="s">
        <v>106</v>
      </c>
    </row>
    <row r="35" spans="1:13" ht="15" customHeight="1" x14ac:dyDescent="0.25">
      <c r="A35" s="66" t="s">
        <v>32</v>
      </c>
      <c r="B35" s="17">
        <v>75</v>
      </c>
      <c r="C35" s="17">
        <v>8.5</v>
      </c>
      <c r="D35" s="17">
        <v>75</v>
      </c>
      <c r="E35" s="50">
        <v>8</v>
      </c>
      <c r="G35" s="55"/>
      <c r="H35" s="18" t="s">
        <v>6</v>
      </c>
      <c r="I35" s="17">
        <v>4000</v>
      </c>
      <c r="J35" s="19"/>
      <c r="K35" s="18" t="s">
        <v>9</v>
      </c>
      <c r="L35" s="50">
        <v>599</v>
      </c>
    </row>
    <row r="36" spans="1:13" ht="15" customHeight="1" x14ac:dyDescent="0.25">
      <c r="A36" s="66" t="s">
        <v>20</v>
      </c>
      <c r="B36" s="17">
        <v>75</v>
      </c>
      <c r="C36" s="17">
        <v>7</v>
      </c>
      <c r="D36" s="17">
        <v>75</v>
      </c>
      <c r="E36" s="50">
        <v>7</v>
      </c>
      <c r="G36" s="55"/>
      <c r="H36" s="18" t="s">
        <v>5</v>
      </c>
      <c r="I36" s="17">
        <v>480</v>
      </c>
      <c r="J36" s="19"/>
      <c r="K36" s="18" t="s">
        <v>95</v>
      </c>
      <c r="L36" s="50">
        <v>599</v>
      </c>
    </row>
    <row r="37" spans="1:13" ht="15" customHeight="1" x14ac:dyDescent="0.25">
      <c r="A37" s="66" t="s">
        <v>33</v>
      </c>
      <c r="B37" s="17">
        <v>120</v>
      </c>
      <c r="C37" s="17">
        <v>9.5</v>
      </c>
      <c r="D37" s="17">
        <v>30</v>
      </c>
      <c r="E37" s="50">
        <v>9</v>
      </c>
      <c r="G37" s="55"/>
      <c r="H37" s="18" t="s">
        <v>102</v>
      </c>
      <c r="I37" s="17">
        <v>1000</v>
      </c>
      <c r="J37" s="19"/>
      <c r="K37" s="19"/>
      <c r="L37" s="48"/>
    </row>
    <row r="38" spans="1:13" ht="15" customHeight="1" x14ac:dyDescent="0.25">
      <c r="A38" s="66" t="s">
        <v>34</v>
      </c>
      <c r="B38" s="17">
        <v>125</v>
      </c>
      <c r="C38" s="17">
        <v>8.5</v>
      </c>
      <c r="D38" s="17">
        <v>25</v>
      </c>
      <c r="E38" s="50">
        <v>8</v>
      </c>
      <c r="G38" s="55"/>
      <c r="H38" s="18" t="s">
        <v>103</v>
      </c>
      <c r="I38" s="17">
        <v>100</v>
      </c>
      <c r="J38" s="19"/>
      <c r="K38" s="18" t="s">
        <v>107</v>
      </c>
      <c r="L38" s="56" t="s">
        <v>108</v>
      </c>
    </row>
    <row r="39" spans="1:13" ht="15" customHeight="1" x14ac:dyDescent="0.25">
      <c r="A39" s="66" t="s">
        <v>21</v>
      </c>
      <c r="B39" s="17">
        <v>150</v>
      </c>
      <c r="C39" s="17">
        <v>7</v>
      </c>
      <c r="D39" s="17" t="s">
        <v>136</v>
      </c>
      <c r="E39" s="50" t="s">
        <v>136</v>
      </c>
      <c r="G39" s="55"/>
      <c r="H39" s="18" t="s">
        <v>8</v>
      </c>
      <c r="I39" s="17">
        <v>0</v>
      </c>
      <c r="J39" s="19"/>
      <c r="K39" s="18" t="s">
        <v>9</v>
      </c>
      <c r="L39" s="50">
        <v>4352</v>
      </c>
    </row>
    <row r="40" spans="1:13" ht="24.75" customHeight="1" thickBot="1" x14ac:dyDescent="0.3">
      <c r="A40" s="67" t="s">
        <v>35</v>
      </c>
      <c r="B40" s="52">
        <v>80</v>
      </c>
      <c r="C40" s="52">
        <v>8.1999999999999993</v>
      </c>
      <c r="D40" s="52">
        <v>70</v>
      </c>
      <c r="E40" s="59">
        <v>8.1999999999999993</v>
      </c>
      <c r="G40" s="57"/>
      <c r="H40" s="58" t="s">
        <v>99</v>
      </c>
      <c r="I40" s="52">
        <v>1000</v>
      </c>
      <c r="J40" s="53"/>
      <c r="K40" s="58" t="s">
        <v>95</v>
      </c>
      <c r="L40" s="59">
        <v>2008</v>
      </c>
    </row>
    <row r="41" spans="1:13" ht="15" customHeight="1" x14ac:dyDescent="0.25"/>
    <row r="42" spans="1:13" ht="15" customHeight="1" x14ac:dyDescent="0.25"/>
    <row r="43" spans="1:13" ht="15" customHeight="1" x14ac:dyDescent="0.25"/>
    <row r="44" spans="1:13" ht="26.25" customHeight="1" x14ac:dyDescent="0.25"/>
    <row r="45" spans="1:13" ht="28.5" customHeight="1" x14ac:dyDescent="0.4">
      <c r="B45" s="97" t="s">
        <v>13</v>
      </c>
      <c r="C45" s="98"/>
      <c r="D45" s="98"/>
      <c r="E45" s="98"/>
      <c r="F45" s="98"/>
      <c r="G45" s="98"/>
      <c r="H45" s="98"/>
      <c r="I45" s="98"/>
      <c r="J45" s="98"/>
      <c r="K45" s="98"/>
    </row>
    <row r="46" spans="1:13" ht="15.75" x14ac:dyDescent="0.25">
      <c r="A46" s="113" t="s">
        <v>138</v>
      </c>
      <c r="B46" s="115" t="s">
        <v>46</v>
      </c>
      <c r="C46" s="117" t="s">
        <v>192</v>
      </c>
      <c r="D46" s="118"/>
      <c r="E46" s="117" t="s">
        <v>203</v>
      </c>
      <c r="F46" s="119"/>
      <c r="G46" s="119"/>
      <c r="H46" s="119"/>
      <c r="I46" s="119"/>
      <c r="J46" s="119"/>
      <c r="K46" s="119"/>
      <c r="L46" s="119"/>
      <c r="M46" s="120"/>
    </row>
    <row r="47" spans="1:13" ht="15.75" x14ac:dyDescent="0.25">
      <c r="A47" s="114"/>
      <c r="B47" s="116"/>
      <c r="C47" s="13" t="s">
        <v>204</v>
      </c>
      <c r="D47" s="13" t="s">
        <v>205</v>
      </c>
      <c r="E47" s="13" t="s">
        <v>206</v>
      </c>
      <c r="F47" s="13" t="s">
        <v>31</v>
      </c>
      <c r="G47" s="13" t="s">
        <v>207</v>
      </c>
      <c r="H47" s="13" t="s">
        <v>202</v>
      </c>
      <c r="I47" s="13" t="s">
        <v>33</v>
      </c>
      <c r="J47" s="13" t="s">
        <v>34</v>
      </c>
      <c r="K47" s="13" t="s">
        <v>17</v>
      </c>
      <c r="L47" s="13" t="s">
        <v>35</v>
      </c>
      <c r="M47" s="75" t="s">
        <v>208</v>
      </c>
    </row>
    <row r="48" spans="1:13" ht="15" customHeight="1" x14ac:dyDescent="0.25">
      <c r="A48" s="113" t="s">
        <v>139</v>
      </c>
      <c r="B48" s="91">
        <v>235196</v>
      </c>
      <c r="C48" s="91">
        <v>31200</v>
      </c>
      <c r="D48" s="91">
        <v>15000</v>
      </c>
      <c r="E48" s="91">
        <v>41005</v>
      </c>
      <c r="F48" s="91">
        <v>38200</v>
      </c>
      <c r="G48" s="91">
        <v>27500</v>
      </c>
      <c r="H48" s="91">
        <v>11023</v>
      </c>
      <c r="I48" s="91">
        <v>22231</v>
      </c>
      <c r="J48" s="91">
        <v>9332</v>
      </c>
      <c r="K48" s="91">
        <v>9455</v>
      </c>
      <c r="L48" s="91">
        <v>18500</v>
      </c>
      <c r="M48" s="94">
        <v>191750</v>
      </c>
    </row>
    <row r="49" spans="1:13" ht="15" customHeight="1" x14ac:dyDescent="0.25">
      <c r="A49" s="121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5"/>
    </row>
    <row r="50" spans="1:13" ht="15" customHeight="1" x14ac:dyDescent="0.25">
      <c r="A50" s="114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6"/>
    </row>
    <row r="51" spans="1:13" ht="37.5" customHeight="1" x14ac:dyDescent="0.25">
      <c r="A51" s="85" t="s">
        <v>209</v>
      </c>
      <c r="B51" s="34"/>
      <c r="C51" s="34">
        <v>0.2</v>
      </c>
      <c r="D51" s="34">
        <v>0.1</v>
      </c>
      <c r="E51" s="34">
        <v>0.2</v>
      </c>
      <c r="F51" s="34">
        <v>0.1</v>
      </c>
      <c r="G51" s="34">
        <v>0.05</v>
      </c>
      <c r="H51" s="34" t="s">
        <v>136</v>
      </c>
      <c r="I51" s="34">
        <v>0.1</v>
      </c>
      <c r="J51" s="34">
        <v>0.05</v>
      </c>
      <c r="K51" s="34" t="s">
        <v>136</v>
      </c>
      <c r="L51" s="34">
        <v>0.1</v>
      </c>
      <c r="M51" s="76">
        <v>0.1</v>
      </c>
    </row>
    <row r="52" spans="1:13" ht="26.25" customHeight="1" x14ac:dyDescent="0.25">
      <c r="A52" s="86" t="s">
        <v>204</v>
      </c>
      <c r="B52" s="87"/>
      <c r="C52" s="38"/>
      <c r="D52" s="38">
        <v>0.2</v>
      </c>
      <c r="E52" s="38">
        <v>0.1</v>
      </c>
      <c r="F52" s="38">
        <v>0.05</v>
      </c>
      <c r="G52" s="38">
        <v>0.1</v>
      </c>
      <c r="H52" s="38">
        <v>0.1</v>
      </c>
      <c r="I52" s="38">
        <v>0.1</v>
      </c>
      <c r="J52" s="38">
        <v>0.05</v>
      </c>
      <c r="K52" s="38">
        <v>0.1</v>
      </c>
      <c r="L52" s="38">
        <v>0.1</v>
      </c>
      <c r="M52" s="88">
        <v>0.1</v>
      </c>
    </row>
    <row r="53" spans="1:13" ht="31.5" customHeight="1" x14ac:dyDescent="0.25">
      <c r="A53" s="13" t="s">
        <v>205</v>
      </c>
      <c r="B53" s="36"/>
      <c r="C53" s="36">
        <v>0.1</v>
      </c>
      <c r="D53" s="36"/>
      <c r="E53" s="36">
        <v>0.1</v>
      </c>
      <c r="F53" s="36">
        <v>0.1</v>
      </c>
      <c r="G53" s="36">
        <v>0.1</v>
      </c>
      <c r="H53" s="36">
        <v>0.1</v>
      </c>
      <c r="I53" s="36">
        <v>0.1</v>
      </c>
      <c r="J53" s="36">
        <v>0.1</v>
      </c>
      <c r="K53" s="36">
        <v>0.1</v>
      </c>
      <c r="L53" s="36">
        <v>0.1</v>
      </c>
      <c r="M53" s="36">
        <v>0.1</v>
      </c>
    </row>
    <row r="54" spans="1:13" ht="32.25" customHeight="1" x14ac:dyDescent="0.25">
      <c r="A54" s="13" t="s">
        <v>210</v>
      </c>
      <c r="B54" s="34"/>
      <c r="C54" s="34"/>
      <c r="D54" s="34"/>
      <c r="E54" s="34" t="s">
        <v>211</v>
      </c>
      <c r="F54" s="34" t="s">
        <v>212</v>
      </c>
      <c r="G54" s="34" t="s">
        <v>212</v>
      </c>
      <c r="H54" s="34" t="s">
        <v>212</v>
      </c>
      <c r="I54" s="34" t="s">
        <v>212</v>
      </c>
      <c r="J54" s="34" t="s">
        <v>212</v>
      </c>
      <c r="K54" s="34" t="s">
        <v>212</v>
      </c>
      <c r="L54" s="34" t="s">
        <v>212</v>
      </c>
      <c r="M54" s="34" t="s">
        <v>213</v>
      </c>
    </row>
    <row r="60" spans="1:13" ht="15" customHeight="1" x14ac:dyDescent="0.25">
      <c r="I60" s="1"/>
    </row>
    <row r="61" spans="1:13" x14ac:dyDescent="0.25">
      <c r="I61" s="1"/>
    </row>
    <row r="62" spans="1:13" x14ac:dyDescent="0.25">
      <c r="I62" s="1"/>
    </row>
    <row r="69" ht="15" customHeight="1" x14ac:dyDescent="0.25"/>
    <row r="70" ht="15" customHeight="1" x14ac:dyDescent="0.25"/>
    <row r="71" ht="15" customHeight="1" x14ac:dyDescent="0.25"/>
    <row r="93" ht="15" customHeight="1" x14ac:dyDescent="0.25"/>
    <row r="97" ht="15.75" customHeight="1" x14ac:dyDescent="0.25"/>
    <row r="98" ht="15.75" customHeight="1" x14ac:dyDescent="0.25"/>
  </sheetData>
  <mergeCells count="35">
    <mergeCell ref="A32:A33"/>
    <mergeCell ref="K17:L17"/>
    <mergeCell ref="N13:R15"/>
    <mergeCell ref="A28:E30"/>
    <mergeCell ref="B32:B33"/>
    <mergeCell ref="C32:C33"/>
    <mergeCell ref="D32:D33"/>
    <mergeCell ref="A13:B14"/>
    <mergeCell ref="D13:H14"/>
    <mergeCell ref="J13:L14"/>
    <mergeCell ref="G29:L31"/>
    <mergeCell ref="M48:M50"/>
    <mergeCell ref="B45:K45"/>
    <mergeCell ref="L2:M3"/>
    <mergeCell ref="O1:Q2"/>
    <mergeCell ref="E32:E33"/>
    <mergeCell ref="A1:B1"/>
    <mergeCell ref="D1:F2"/>
    <mergeCell ref="H1:J2"/>
    <mergeCell ref="A46:A47"/>
    <mergeCell ref="B46:B47"/>
    <mergeCell ref="C46:D46"/>
    <mergeCell ref="E46:M46"/>
    <mergeCell ref="A48:A50"/>
    <mergeCell ref="B48:B50"/>
    <mergeCell ref="C48:C50"/>
    <mergeCell ref="D48:D50"/>
    <mergeCell ref="J48:J50"/>
    <mergeCell ref="K48:K50"/>
    <mergeCell ref="L48:L50"/>
    <mergeCell ref="E48:E50"/>
    <mergeCell ref="F48:F50"/>
    <mergeCell ref="G48:G50"/>
    <mergeCell ref="H48:H50"/>
    <mergeCell ref="I48:I5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2" sqref="A2:C2"/>
    </sheetView>
  </sheetViews>
  <sheetFormatPr baseColWidth="10" defaultRowHeight="15" x14ac:dyDescent="0.25"/>
  <sheetData>
    <row r="1" spans="1:6" ht="25.5" customHeight="1" x14ac:dyDescent="0.25">
      <c r="A1" s="159" t="s">
        <v>137</v>
      </c>
      <c r="B1" s="159"/>
      <c r="C1" s="159"/>
      <c r="D1" s="159" t="s">
        <v>108</v>
      </c>
      <c r="E1" s="159"/>
      <c r="F1" s="159"/>
    </row>
    <row r="2" spans="1:6" ht="15.75" x14ac:dyDescent="0.25">
      <c r="A2" s="160" t="s">
        <v>138</v>
      </c>
      <c r="B2" s="160"/>
      <c r="C2" s="160"/>
      <c r="D2" s="161">
        <f>'Tableau de Répartition des C.I'!B22</f>
        <v>385196</v>
      </c>
      <c r="E2" s="158"/>
      <c r="F2" s="158"/>
    </row>
    <row r="3" spans="1:6" ht="15.75" x14ac:dyDescent="0.25">
      <c r="A3" s="160" t="s">
        <v>111</v>
      </c>
      <c r="B3" s="160"/>
      <c r="C3" s="160"/>
      <c r="D3" s="161">
        <f>-'Tableau de Répartition des C.I'!B11</f>
        <v>-150000</v>
      </c>
      <c r="E3" s="158"/>
      <c r="F3" s="158"/>
    </row>
    <row r="4" spans="1:6" ht="15.75" x14ac:dyDescent="0.25">
      <c r="A4" s="160" t="s">
        <v>139</v>
      </c>
      <c r="B4" s="160"/>
      <c r="C4" s="160"/>
      <c r="D4" s="161">
        <f>D2+D3</f>
        <v>235196</v>
      </c>
      <c r="E4" s="158"/>
      <c r="F4" s="158"/>
    </row>
    <row r="5" spans="1:6" ht="15.75" x14ac:dyDescent="0.25">
      <c r="A5" s="160" t="s">
        <v>140</v>
      </c>
      <c r="B5" s="160"/>
      <c r="C5" s="160"/>
      <c r="D5" s="158">
        <f>'Données  '!B5</f>
        <v>12750</v>
      </c>
      <c r="E5" s="158"/>
      <c r="F5" s="158"/>
    </row>
    <row r="6" spans="1:6" ht="15.75" x14ac:dyDescent="0.25">
      <c r="A6" s="160" t="s">
        <v>141</v>
      </c>
      <c r="B6" s="160"/>
      <c r="C6" s="160"/>
      <c r="D6" s="161">
        <f>D4+D5</f>
        <v>247946</v>
      </c>
      <c r="E6" s="158"/>
      <c r="F6" s="158"/>
    </row>
  </sheetData>
  <mergeCells count="12">
    <mergeCell ref="A1:C1"/>
    <mergeCell ref="D1:F1"/>
    <mergeCell ref="A2:C2"/>
    <mergeCell ref="D6:F6"/>
    <mergeCell ref="D5:F5"/>
    <mergeCell ref="D4:F4"/>
    <mergeCell ref="D3:F3"/>
    <mergeCell ref="D2:F2"/>
    <mergeCell ref="A6:C6"/>
    <mergeCell ref="A5:C5"/>
    <mergeCell ref="A4:C4"/>
    <mergeCell ref="A3:C3"/>
  </mergeCells>
  <pageMargins left="0.7" right="0.7" top="0.75" bottom="0.75" header="0.3" footer="0.3"/>
  <ignoredErrors>
    <ignoredError sqref="D5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C14" sqref="C14"/>
    </sheetView>
  </sheetViews>
  <sheetFormatPr baseColWidth="10" defaultRowHeight="15" x14ac:dyDescent="0.25"/>
  <cols>
    <col min="1" max="1" width="30.85546875" customWidth="1"/>
    <col min="3" max="3" width="16.42578125" customWidth="1"/>
    <col min="4" max="4" width="29.140625" customWidth="1"/>
  </cols>
  <sheetData>
    <row r="1" spans="1:4" x14ac:dyDescent="0.25">
      <c r="A1" s="156" t="s">
        <v>214</v>
      </c>
      <c r="B1" s="162"/>
    </row>
    <row r="2" spans="1:4" x14ac:dyDescent="0.25">
      <c r="A2" s="162"/>
      <c r="B2" s="162"/>
    </row>
    <row r="3" spans="1:4" x14ac:dyDescent="0.25">
      <c r="A3" s="81" t="s">
        <v>198</v>
      </c>
      <c r="B3" s="84">
        <f>'Résultat analytique  '!D7+'Résultat analytique  '!K7</f>
        <v>10144376.964518635</v>
      </c>
    </row>
    <row r="4" spans="1:4" x14ac:dyDescent="0.25">
      <c r="A4" s="81" t="s">
        <v>193</v>
      </c>
      <c r="B4" s="84">
        <f>'Tableau de Répartition des C.I'!B11</f>
        <v>150000</v>
      </c>
    </row>
    <row r="5" spans="1:4" x14ac:dyDescent="0.25">
      <c r="A5" s="81" t="s">
        <v>199</v>
      </c>
      <c r="B5" s="35" t="s">
        <v>136</v>
      </c>
    </row>
    <row r="6" spans="1:4" x14ac:dyDescent="0.25">
      <c r="A6" s="81" t="s">
        <v>140</v>
      </c>
      <c r="B6" s="81">
        <f>'Données  '!B5</f>
        <v>12750</v>
      </c>
    </row>
    <row r="7" spans="1:4" x14ac:dyDescent="0.25">
      <c r="A7" s="81" t="s">
        <v>200</v>
      </c>
      <c r="B7" s="84">
        <f>(('Inventaire permanets produits'!H5+'Inventaire permanets produits'!H6)-('Inventaire permanets produits'!H5+'Inventaire permanets produits'!H6+'Inventaire permanets produits'!H7))+('Inventaire permanets produits'!R5+'Inventaire permanets produits'!R6)-('Inventaire permanets produits'!R5+'Inventaire permanets produits'!R6+'Inventaire permanets produits'!R7)</f>
        <v>-1273.0019684992731</v>
      </c>
    </row>
    <row r="8" spans="1:4" x14ac:dyDescent="0.25">
      <c r="A8" s="81" t="s">
        <v>201</v>
      </c>
      <c r="B8" s="84">
        <f>B3+B4+B7-B6</f>
        <v>10280353.962550135</v>
      </c>
    </row>
    <row r="9" spans="1:4" x14ac:dyDescent="0.25">
      <c r="A9" s="19"/>
      <c r="B9" s="19"/>
      <c r="C9" s="19"/>
    </row>
    <row r="10" spans="1:4" x14ac:dyDescent="0.25">
      <c r="A10" s="19"/>
      <c r="B10" s="19"/>
      <c r="C10" s="19"/>
    </row>
    <row r="11" spans="1:4" x14ac:dyDescent="0.25">
      <c r="A11" s="19"/>
      <c r="B11" s="19"/>
      <c r="C11" s="19"/>
    </row>
    <row r="12" spans="1:4" x14ac:dyDescent="0.25">
      <c r="A12" s="19"/>
      <c r="B12" s="19"/>
      <c r="C12" s="19"/>
    </row>
    <row r="13" spans="1:4" x14ac:dyDescent="0.25">
      <c r="A13" s="19"/>
      <c r="B13" s="19"/>
      <c r="C13" s="19"/>
    </row>
    <row r="14" spans="1:4" x14ac:dyDescent="0.25">
      <c r="A14" s="19"/>
      <c r="B14" s="19"/>
      <c r="C14" s="19"/>
    </row>
    <row r="15" spans="1:4" x14ac:dyDescent="0.25">
      <c r="A15" s="19"/>
      <c r="B15" s="19"/>
      <c r="C15" s="19"/>
      <c r="D15" s="19"/>
    </row>
    <row r="16" spans="1:4" x14ac:dyDescent="0.25">
      <c r="A16" s="19"/>
      <c r="B16" s="19"/>
      <c r="C16" s="19"/>
      <c r="D16" s="19"/>
    </row>
    <row r="17" spans="1:4" x14ac:dyDescent="0.25">
      <c r="A17" s="19"/>
      <c r="B17" s="19"/>
      <c r="C17" s="19"/>
      <c r="D17" s="19"/>
    </row>
  </sheetData>
  <mergeCells count="1">
    <mergeCell ref="A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zoomScale="70" zoomScaleNormal="70" workbookViewId="0">
      <selection activeCell="P28" sqref="P28"/>
    </sheetView>
  </sheetViews>
  <sheetFormatPr baseColWidth="10" defaultRowHeight="15" x14ac:dyDescent="0.25"/>
  <cols>
    <col min="1" max="1" width="23.85546875" customWidth="1"/>
    <col min="3" max="3" width="11.42578125" customWidth="1"/>
    <col min="5" max="5" width="20" customWidth="1"/>
    <col min="8" max="8" width="15.140625" customWidth="1"/>
    <col min="11" max="11" width="14.42578125" customWidth="1"/>
    <col min="12" max="12" width="13.7109375" customWidth="1"/>
    <col min="13" max="13" width="14.42578125" customWidth="1"/>
    <col min="18" max="18" width="12.28515625" customWidth="1"/>
  </cols>
  <sheetData>
    <row r="1" spans="1:20" ht="26.25" customHeight="1" x14ac:dyDescent="0.4">
      <c r="A1" s="111" t="s">
        <v>13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  <c r="N1" s="30"/>
    </row>
    <row r="2" spans="1:20" ht="26.25" customHeight="1" x14ac:dyDescent="0.4">
      <c r="A2" s="112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2"/>
      <c r="N2" s="30"/>
    </row>
    <row r="3" spans="1:20" ht="26.25" customHeight="1" thickBot="1" x14ac:dyDescent="0.45">
      <c r="A3" s="112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102"/>
      <c r="N3" s="30"/>
    </row>
    <row r="4" spans="1:20" x14ac:dyDescent="0.25">
      <c r="A4" s="55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48"/>
      <c r="Q4" s="132" t="s">
        <v>161</v>
      </c>
      <c r="R4" s="133"/>
      <c r="S4" s="133"/>
      <c r="T4" s="134"/>
    </row>
    <row r="5" spans="1:20" x14ac:dyDescent="0.25">
      <c r="A5" s="5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48"/>
      <c r="Q5" s="135"/>
      <c r="R5" s="136"/>
      <c r="S5" s="136"/>
      <c r="T5" s="137"/>
    </row>
    <row r="6" spans="1:20" ht="15.75" x14ac:dyDescent="0.25">
      <c r="A6" s="113" t="s">
        <v>109</v>
      </c>
      <c r="B6" s="115" t="s">
        <v>46</v>
      </c>
      <c r="C6" s="117" t="s">
        <v>113</v>
      </c>
      <c r="D6" s="118"/>
      <c r="E6" s="117" t="s">
        <v>116</v>
      </c>
      <c r="F6" s="119"/>
      <c r="G6" s="119"/>
      <c r="H6" s="119"/>
      <c r="I6" s="119"/>
      <c r="J6" s="119"/>
      <c r="K6" s="119"/>
      <c r="L6" s="119"/>
      <c r="M6" s="120"/>
      <c r="Q6" s="55"/>
      <c r="R6" s="19"/>
      <c r="S6" s="19"/>
      <c r="T6" s="48"/>
    </row>
    <row r="7" spans="1:20" ht="15.75" x14ac:dyDescent="0.25">
      <c r="A7" s="114"/>
      <c r="B7" s="116"/>
      <c r="C7" s="13" t="s">
        <v>114</v>
      </c>
      <c r="D7" s="13" t="s">
        <v>115</v>
      </c>
      <c r="E7" s="13" t="s">
        <v>206</v>
      </c>
      <c r="F7" s="13" t="s">
        <v>117</v>
      </c>
      <c r="G7" s="13" t="s">
        <v>32</v>
      </c>
      <c r="H7" s="13" t="s">
        <v>8</v>
      </c>
      <c r="I7" s="13" t="s">
        <v>118</v>
      </c>
      <c r="J7" s="13" t="s">
        <v>119</v>
      </c>
      <c r="K7" s="13" t="s">
        <v>99</v>
      </c>
      <c r="L7" s="13" t="s">
        <v>120</v>
      </c>
      <c r="M7" s="75" t="s">
        <v>121</v>
      </c>
      <c r="Q7" s="55"/>
      <c r="R7" s="19"/>
      <c r="S7" s="19"/>
      <c r="T7" s="48"/>
    </row>
    <row r="8" spans="1:20" x14ac:dyDescent="0.25">
      <c r="A8" s="113" t="s">
        <v>110</v>
      </c>
      <c r="B8" s="91">
        <v>235196</v>
      </c>
      <c r="C8" s="91">
        <v>31200</v>
      </c>
      <c r="D8" s="91">
        <v>15000</v>
      </c>
      <c r="E8" s="91">
        <v>41005</v>
      </c>
      <c r="F8" s="91">
        <v>38200</v>
      </c>
      <c r="G8" s="91">
        <v>27500</v>
      </c>
      <c r="H8" s="91">
        <v>11023</v>
      </c>
      <c r="I8" s="91">
        <v>22231</v>
      </c>
      <c r="J8" s="91">
        <v>9332</v>
      </c>
      <c r="K8" s="91">
        <v>9455</v>
      </c>
      <c r="L8" s="91">
        <v>18500</v>
      </c>
      <c r="M8" s="94">
        <v>191750</v>
      </c>
      <c r="Q8" s="138" t="s">
        <v>215</v>
      </c>
      <c r="R8" s="139"/>
      <c r="S8" s="139"/>
      <c r="T8" s="48"/>
    </row>
    <row r="9" spans="1:20" x14ac:dyDescent="0.25">
      <c r="A9" s="12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5"/>
      <c r="Q9" s="138" t="s">
        <v>216</v>
      </c>
      <c r="R9" s="139"/>
      <c r="S9" s="139"/>
      <c r="T9" s="48"/>
    </row>
    <row r="10" spans="1:20" x14ac:dyDescent="0.25">
      <c r="A10" s="114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6"/>
      <c r="Q10" s="55"/>
      <c r="R10" s="19"/>
      <c r="S10" s="20"/>
      <c r="T10" s="48"/>
    </row>
    <row r="11" spans="1:20" x14ac:dyDescent="0.25">
      <c r="A11" s="130" t="s">
        <v>111</v>
      </c>
      <c r="B11" s="129">
        <f>('Données  '!B2*'Données  '!B6)/12</f>
        <v>150000</v>
      </c>
      <c r="C11" s="129">
        <f>(B11*'Données  '!C51)</f>
        <v>30000</v>
      </c>
      <c r="D11" s="129">
        <f>(B11*'Données  '!D51)</f>
        <v>15000</v>
      </c>
      <c r="E11" s="129">
        <f>(B11*'Données  '!E51)</f>
        <v>30000</v>
      </c>
      <c r="F11" s="129">
        <f>(B11*'Données  '!F51)</f>
        <v>15000</v>
      </c>
      <c r="G11" s="129">
        <f>(B11*'Données  '!G51)</f>
        <v>7500</v>
      </c>
      <c r="H11" s="129" t="s">
        <v>133</v>
      </c>
      <c r="I11" s="129">
        <f>(B11*'Données  '!I51)</f>
        <v>15000</v>
      </c>
      <c r="J11" s="129">
        <f>(B11*'Données  '!J51)</f>
        <v>7500</v>
      </c>
      <c r="K11" s="129" t="s">
        <v>133</v>
      </c>
      <c r="L11" s="129">
        <f>(B11*'Données  '!L51)</f>
        <v>15000</v>
      </c>
      <c r="M11" s="131">
        <f>(B11*'Données  '!M51)</f>
        <v>15000</v>
      </c>
      <c r="Q11" s="71">
        <f>(1-0.02)</f>
        <v>0.98</v>
      </c>
      <c r="R11" s="22" t="s">
        <v>159</v>
      </c>
      <c r="S11" s="21">
        <f>'Tableau de Répartition des C.I'!C14+(0.1*'Tableau de Répartition des C.I'!D14)</f>
        <v>64200</v>
      </c>
      <c r="T11" s="48"/>
    </row>
    <row r="12" spans="1:20" x14ac:dyDescent="0.25">
      <c r="A12" s="130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31"/>
      <c r="Q12" s="72" t="s">
        <v>132</v>
      </c>
      <c r="R12" s="90">
        <f>S11/Q11</f>
        <v>65510.204081632655</v>
      </c>
      <c r="S12" s="20"/>
      <c r="T12" s="48"/>
    </row>
    <row r="13" spans="1:20" ht="15.75" thickBot="1" x14ac:dyDescent="0.3">
      <c r="A13" s="130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31"/>
      <c r="Q13" s="73" t="s">
        <v>160</v>
      </c>
      <c r="R13" s="89">
        <f>'Tableau de Répartition des C.I'!D14+0.2*R12</f>
        <v>43102.040816326531</v>
      </c>
      <c r="S13" s="74"/>
      <c r="T13" s="54"/>
    </row>
    <row r="14" spans="1:20" x14ac:dyDescent="0.25">
      <c r="A14" s="130" t="s">
        <v>112</v>
      </c>
      <c r="B14" s="129">
        <f t="shared" ref="B14:G14" si="0">B8+B11</f>
        <v>385196</v>
      </c>
      <c r="C14" s="91">
        <f t="shared" si="0"/>
        <v>61200</v>
      </c>
      <c r="D14" s="91">
        <f t="shared" si="0"/>
        <v>30000</v>
      </c>
      <c r="E14" s="91">
        <f t="shared" si="0"/>
        <v>71005</v>
      </c>
      <c r="F14" s="91">
        <f t="shared" si="0"/>
        <v>53200</v>
      </c>
      <c r="G14" s="91">
        <f t="shared" si="0"/>
        <v>35000</v>
      </c>
      <c r="H14" s="91">
        <f>H8</f>
        <v>11023</v>
      </c>
      <c r="I14" s="91">
        <f>I8+I11</f>
        <v>37231</v>
      </c>
      <c r="J14" s="91">
        <f>J8+J11</f>
        <v>16832</v>
      </c>
      <c r="K14" s="91">
        <f>K8</f>
        <v>9455</v>
      </c>
      <c r="L14" s="91">
        <f>L8+L11</f>
        <v>33500</v>
      </c>
      <c r="M14" s="94">
        <f>M8+M11</f>
        <v>206750</v>
      </c>
    </row>
    <row r="15" spans="1:20" x14ac:dyDescent="0.25">
      <c r="A15" s="113"/>
      <c r="B15" s="91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5"/>
    </row>
    <row r="16" spans="1:20" x14ac:dyDescent="0.25">
      <c r="A16" s="152" t="s">
        <v>122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53"/>
    </row>
    <row r="17" spans="1:13" x14ac:dyDescent="0.25">
      <c r="A17" s="150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54"/>
    </row>
    <row r="18" spans="1:13" x14ac:dyDescent="0.25">
      <c r="A18" s="150" t="s">
        <v>123</v>
      </c>
      <c r="B18" s="148" t="s">
        <v>133</v>
      </c>
      <c r="C18" s="148">
        <f>'Tableau de Répartition des C.I'!R12</f>
        <v>65510.204081632655</v>
      </c>
      <c r="D18" s="148">
        <f>C18*'Données  '!D52</f>
        <v>13102.040816326531</v>
      </c>
      <c r="E18" s="148">
        <f>(C18*'Données  '!E52)</f>
        <v>6551.0204081632655</v>
      </c>
      <c r="F18" s="148">
        <f>(C18*'Données  '!F52)</f>
        <v>3275.5102040816328</v>
      </c>
      <c r="G18" s="148">
        <f>(C18*'Données  '!G52)</f>
        <v>6551.0204081632655</v>
      </c>
      <c r="H18" s="148">
        <f>(C18*'Données  '!H52)</f>
        <v>6551.0204081632655</v>
      </c>
      <c r="I18" s="148">
        <f>(C18*'Données  '!I52)</f>
        <v>6551.0204081632655</v>
      </c>
      <c r="J18" s="148">
        <f>(C18*'Données  '!J52)</f>
        <v>3275.5102040816328</v>
      </c>
      <c r="K18" s="148">
        <f>(C18*'Données  '!K52)</f>
        <v>6551.0204081632655</v>
      </c>
      <c r="L18" s="148">
        <f>(C18*'Données  '!L52)</f>
        <v>6551.0204081632655</v>
      </c>
      <c r="M18" s="154">
        <f>(C18*'Données  '!M52)</f>
        <v>6551.0204081632655</v>
      </c>
    </row>
    <row r="19" spans="1:13" x14ac:dyDescent="0.25">
      <c r="A19" s="151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55"/>
    </row>
    <row r="20" spans="1:13" x14ac:dyDescent="0.25">
      <c r="A20" s="114" t="s">
        <v>115</v>
      </c>
      <c r="B20" s="93" t="s">
        <v>133</v>
      </c>
      <c r="C20" s="93">
        <f>D20*'Données  '!C53</f>
        <v>4310.2040816326535</v>
      </c>
      <c r="D20" s="93">
        <f>'Tableau de Répartition des C.I'!R13</f>
        <v>43102.040816326531</v>
      </c>
      <c r="E20" s="93">
        <f>(D20*'Données  '!E53)</f>
        <v>4310.2040816326535</v>
      </c>
      <c r="F20" s="93">
        <f>(D20*'Données  '!F53)</f>
        <v>4310.2040816326535</v>
      </c>
      <c r="G20" s="93">
        <f>(D20*'Données  '!G53)</f>
        <v>4310.2040816326535</v>
      </c>
      <c r="H20" s="93">
        <f>(D20*'Données  '!H53)</f>
        <v>4310.2040816326535</v>
      </c>
      <c r="I20" s="93">
        <f>(D20*'Données  '!I53)</f>
        <v>4310.2040816326535</v>
      </c>
      <c r="J20" s="93">
        <f>(D20*'Données  '!J53)</f>
        <v>4310.2040816326535</v>
      </c>
      <c r="K20" s="93">
        <f>(D20*'Données  '!K53)</f>
        <v>4310.2040816326535</v>
      </c>
      <c r="L20" s="93">
        <f>(D20*'Données  '!L53)</f>
        <v>4310.2040816326535</v>
      </c>
      <c r="M20" s="96">
        <f>(D20*'Données  '!M53)</f>
        <v>4310.2040816326535</v>
      </c>
    </row>
    <row r="21" spans="1:13" x14ac:dyDescent="0.25">
      <c r="A21" s="130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31"/>
    </row>
    <row r="22" spans="1:13" ht="15.75" x14ac:dyDescent="0.25">
      <c r="A22" s="47" t="s">
        <v>124</v>
      </c>
      <c r="B22" s="31">
        <f>B14</f>
        <v>385196</v>
      </c>
      <c r="C22" s="31">
        <f>C14-C18+C20</f>
        <v>0</v>
      </c>
      <c r="D22" s="31">
        <f>D14-D20+D18</f>
        <v>0</v>
      </c>
      <c r="E22" s="31">
        <f t="shared" ref="E22:M22" si="1">E14+E18+E20</f>
        <v>81866.224489795917</v>
      </c>
      <c r="F22" s="31">
        <f t="shared" si="1"/>
        <v>60785.71428571429</v>
      </c>
      <c r="G22" s="31">
        <f t="shared" si="1"/>
        <v>45861.224489795924</v>
      </c>
      <c r="H22" s="31">
        <f t="shared" si="1"/>
        <v>21884.224489795917</v>
      </c>
      <c r="I22" s="31">
        <f t="shared" si="1"/>
        <v>48092.224489795924</v>
      </c>
      <c r="J22" s="31">
        <f t="shared" si="1"/>
        <v>24417.71428571429</v>
      </c>
      <c r="K22" s="31">
        <f t="shared" si="1"/>
        <v>20316.224489795917</v>
      </c>
      <c r="L22" s="31">
        <f t="shared" si="1"/>
        <v>44361.224489795924</v>
      </c>
      <c r="M22" s="77">
        <f t="shared" si="1"/>
        <v>217611.22448979592</v>
      </c>
    </row>
    <row r="23" spans="1:13" x14ac:dyDescent="0.25">
      <c r="A23" s="130" t="s">
        <v>125</v>
      </c>
      <c r="B23" s="143" t="s">
        <v>133</v>
      </c>
      <c r="C23" s="140" t="s">
        <v>133</v>
      </c>
      <c r="D23" s="140" t="s">
        <v>133</v>
      </c>
      <c r="E23" s="140" t="s">
        <v>128</v>
      </c>
      <c r="F23" s="140" t="s">
        <v>129</v>
      </c>
      <c r="G23" s="140" t="s">
        <v>130</v>
      </c>
      <c r="H23" s="140" t="s">
        <v>129</v>
      </c>
      <c r="I23" s="140" t="s">
        <v>129</v>
      </c>
      <c r="J23" s="140" t="s">
        <v>130</v>
      </c>
      <c r="K23" s="140" t="s">
        <v>130</v>
      </c>
      <c r="L23" s="140" t="s">
        <v>129</v>
      </c>
      <c r="M23" s="144" t="s">
        <v>131</v>
      </c>
    </row>
    <row r="24" spans="1:13" x14ac:dyDescent="0.25">
      <c r="A24" s="130"/>
      <c r="B24" s="143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5"/>
    </row>
    <row r="25" spans="1:13" x14ac:dyDescent="0.25">
      <c r="A25" s="130"/>
      <c r="B25" s="143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6"/>
    </row>
    <row r="26" spans="1:13" ht="15.75" x14ac:dyDescent="0.25">
      <c r="A26" s="47" t="s">
        <v>126</v>
      </c>
      <c r="B26" s="17" t="s">
        <v>133</v>
      </c>
      <c r="C26" s="17" t="s">
        <v>133</v>
      </c>
      <c r="D26" s="17" t="s">
        <v>133</v>
      </c>
      <c r="E26" s="23">
        <f>'Données  '!E5+'Données  '!E6+'Données  '!E7+'Données  '!E8</f>
        <v>69000</v>
      </c>
      <c r="F26" s="23">
        <f>'Données  '!B34+'Données  '!D34</f>
        <v>150</v>
      </c>
      <c r="G26" s="23">
        <f>'Données  '!B35+'Données  '!D35</f>
        <v>150</v>
      </c>
      <c r="H26" s="23">
        <f>'Données  '!B36+'Données  '!D36</f>
        <v>150</v>
      </c>
      <c r="I26" s="23">
        <f>'Données  '!B37+'Données  '!D37</f>
        <v>150</v>
      </c>
      <c r="J26" s="23">
        <f>'Données  '!B38+'Données  '!D38</f>
        <v>150</v>
      </c>
      <c r="K26" s="23">
        <f>'Données  '!B39</f>
        <v>150</v>
      </c>
      <c r="L26" s="23">
        <f>'Données  '!B40+'Données  '!D40</f>
        <v>150</v>
      </c>
      <c r="M26" s="68">
        <f>'Données  '!B2/100</f>
        <v>180000</v>
      </c>
    </row>
    <row r="27" spans="1:13" ht="16.5" thickBot="1" x14ac:dyDescent="0.3">
      <c r="A27" s="51" t="s">
        <v>127</v>
      </c>
      <c r="B27" s="52" t="s">
        <v>133</v>
      </c>
      <c r="C27" s="52" t="s">
        <v>133</v>
      </c>
      <c r="D27" s="52" t="s">
        <v>133</v>
      </c>
      <c r="E27" s="78">
        <f t="shared" ref="E27:M27" si="2">E22/E26</f>
        <v>1.1864670215912452</v>
      </c>
      <c r="F27" s="78">
        <f t="shared" si="2"/>
        <v>405.23809523809524</v>
      </c>
      <c r="G27" s="78">
        <f t="shared" si="2"/>
        <v>305.74149659863951</v>
      </c>
      <c r="H27" s="78">
        <f t="shared" si="2"/>
        <v>145.89482993197279</v>
      </c>
      <c r="I27" s="78">
        <f t="shared" si="2"/>
        <v>320.61482993197285</v>
      </c>
      <c r="J27" s="78">
        <f t="shared" si="2"/>
        <v>162.78476190476192</v>
      </c>
      <c r="K27" s="78">
        <f t="shared" si="2"/>
        <v>135.44149659863945</v>
      </c>
      <c r="L27" s="78">
        <f t="shared" si="2"/>
        <v>295.74149659863951</v>
      </c>
      <c r="M27" s="79">
        <f t="shared" si="2"/>
        <v>1.2089512471655328</v>
      </c>
    </row>
  </sheetData>
  <mergeCells count="99">
    <mergeCell ref="M20:M21"/>
    <mergeCell ref="L20:L21"/>
    <mergeCell ref="K20:K21"/>
    <mergeCell ref="J20:J21"/>
    <mergeCell ref="I20:I21"/>
    <mergeCell ref="M18:M19"/>
    <mergeCell ref="L18:L19"/>
    <mergeCell ref="K18:K19"/>
    <mergeCell ref="J18:J19"/>
    <mergeCell ref="I18:I19"/>
    <mergeCell ref="M16:M17"/>
    <mergeCell ref="L16:L17"/>
    <mergeCell ref="K16:K17"/>
    <mergeCell ref="J16:J17"/>
    <mergeCell ref="I16:I17"/>
    <mergeCell ref="A18:A19"/>
    <mergeCell ref="A20:A21"/>
    <mergeCell ref="A16:A17"/>
    <mergeCell ref="D18:D19"/>
    <mergeCell ref="C18:C19"/>
    <mergeCell ref="B18:B19"/>
    <mergeCell ref="D16:D17"/>
    <mergeCell ref="C16:C17"/>
    <mergeCell ref="B16:B17"/>
    <mergeCell ref="D20:D21"/>
    <mergeCell ref="C20:C21"/>
    <mergeCell ref="B20:B21"/>
    <mergeCell ref="G16:G17"/>
    <mergeCell ref="F16:F17"/>
    <mergeCell ref="E16:E17"/>
    <mergeCell ref="H20:H21"/>
    <mergeCell ref="G20:G21"/>
    <mergeCell ref="F20:F21"/>
    <mergeCell ref="H18:H19"/>
    <mergeCell ref="G18:G19"/>
    <mergeCell ref="F18:F19"/>
    <mergeCell ref="E18:E19"/>
    <mergeCell ref="H16:H17"/>
    <mergeCell ref="E20:E21"/>
    <mergeCell ref="C23:C25"/>
    <mergeCell ref="A23:A25"/>
    <mergeCell ref="B23:B25"/>
    <mergeCell ref="D23:D25"/>
    <mergeCell ref="M23:M25"/>
    <mergeCell ref="K23:K25"/>
    <mergeCell ref="I23:I25"/>
    <mergeCell ref="G23:G25"/>
    <mergeCell ref="F23:F25"/>
    <mergeCell ref="H23:H25"/>
    <mergeCell ref="J23:J25"/>
    <mergeCell ref="L23:L25"/>
    <mergeCell ref="E23:E25"/>
    <mergeCell ref="F14:F15"/>
    <mergeCell ref="L14:L15"/>
    <mergeCell ref="G14:G15"/>
    <mergeCell ref="H14:H15"/>
    <mergeCell ref="I14:I15"/>
    <mergeCell ref="A14:A15"/>
    <mergeCell ref="B14:B15"/>
    <mergeCell ref="C14:C15"/>
    <mergeCell ref="D14:D15"/>
    <mergeCell ref="E14:E15"/>
    <mergeCell ref="Q4:T5"/>
    <mergeCell ref="Q8:S8"/>
    <mergeCell ref="Q9:S9"/>
    <mergeCell ref="J14:J15"/>
    <mergeCell ref="K14:K15"/>
    <mergeCell ref="M14:M15"/>
    <mergeCell ref="M11:M13"/>
    <mergeCell ref="K11:K13"/>
    <mergeCell ref="E6:M6"/>
    <mergeCell ref="L11:L13"/>
    <mergeCell ref="J8:J10"/>
    <mergeCell ref="K8:K10"/>
    <mergeCell ref="L8:L10"/>
    <mergeCell ref="M8:M10"/>
    <mergeCell ref="F11:F13"/>
    <mergeCell ref="E11:E13"/>
    <mergeCell ref="E8:E10"/>
    <mergeCell ref="F8:F10"/>
    <mergeCell ref="G8:G10"/>
    <mergeCell ref="H8:H10"/>
    <mergeCell ref="I8:I10"/>
    <mergeCell ref="A1:M3"/>
    <mergeCell ref="J11:J13"/>
    <mergeCell ref="I11:I13"/>
    <mergeCell ref="H11:H13"/>
    <mergeCell ref="G11:G13"/>
    <mergeCell ref="A6:A7"/>
    <mergeCell ref="B6:B7"/>
    <mergeCell ref="C6:D6"/>
    <mergeCell ref="A8:A10"/>
    <mergeCell ref="A11:A13"/>
    <mergeCell ref="D8:D10"/>
    <mergeCell ref="C8:C10"/>
    <mergeCell ref="B8:B10"/>
    <mergeCell ref="D11:D13"/>
    <mergeCell ref="C11:C13"/>
    <mergeCell ref="B11:B13"/>
  </mergeCells>
  <pageMargins left="0.7" right="0.7" top="0.75" bottom="0.75" header="0.3" footer="0.3"/>
  <ignoredErrors>
    <ignoredError sqref="H14 K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="60" zoomScaleNormal="60" workbookViewId="0">
      <selection activeCell="C17" sqref="C17"/>
    </sheetView>
  </sheetViews>
  <sheetFormatPr baseColWidth="10" defaultRowHeight="15" x14ac:dyDescent="0.25"/>
  <cols>
    <col min="1" max="1" width="42.42578125" customWidth="1"/>
    <col min="2" max="2" width="13.28515625" bestFit="1" customWidth="1"/>
    <col min="3" max="3" width="11.5703125" bestFit="1" customWidth="1"/>
    <col min="4" max="4" width="15.140625" bestFit="1" customWidth="1"/>
    <col min="7" max="7" width="44.7109375" customWidth="1"/>
    <col min="10" max="10" width="14.28515625" customWidth="1"/>
  </cols>
  <sheetData>
    <row r="1" spans="1:10" x14ac:dyDescent="0.25">
      <c r="A1" s="156" t="s">
        <v>166</v>
      </c>
      <c r="B1" s="156"/>
      <c r="C1" s="156"/>
      <c r="D1" s="156"/>
      <c r="G1" s="156" t="s">
        <v>167</v>
      </c>
      <c r="H1" s="156"/>
      <c r="I1" s="156"/>
      <c r="J1" s="156"/>
    </row>
    <row r="2" spans="1:10" x14ac:dyDescent="0.25">
      <c r="A2" s="156"/>
      <c r="B2" s="156"/>
      <c r="C2" s="156"/>
      <c r="D2" s="156"/>
      <c r="G2" s="156"/>
      <c r="H2" s="156"/>
      <c r="I2" s="156"/>
      <c r="J2" s="156"/>
    </row>
    <row r="5" spans="1:10" ht="15.75" x14ac:dyDescent="0.25">
      <c r="A5" s="9"/>
      <c r="B5" s="9" t="s">
        <v>36</v>
      </c>
      <c r="C5" s="9" t="s">
        <v>37</v>
      </c>
      <c r="D5" s="9" t="s">
        <v>38</v>
      </c>
      <c r="G5" s="9"/>
      <c r="H5" s="9" t="s">
        <v>36</v>
      </c>
      <c r="I5" s="9" t="s">
        <v>37</v>
      </c>
      <c r="J5" s="9" t="s">
        <v>38</v>
      </c>
    </row>
    <row r="6" spans="1:10" ht="15.75" x14ac:dyDescent="0.25">
      <c r="A6" s="9" t="s">
        <v>39</v>
      </c>
      <c r="B6" s="24">
        <f>'Données  '!E5</f>
        <v>16000</v>
      </c>
      <c r="C6" s="23">
        <f>'Données  '!F5</f>
        <v>15</v>
      </c>
      <c r="D6" s="23">
        <f>B6*C6</f>
        <v>240000</v>
      </c>
      <c r="G6" s="9" t="s">
        <v>39</v>
      </c>
      <c r="H6" s="24">
        <f>'Données  '!E8</f>
        <v>2500</v>
      </c>
      <c r="I6" s="23">
        <f>'Données  '!F8</f>
        <v>170</v>
      </c>
      <c r="J6" s="23">
        <f>I6*H6</f>
        <v>425000</v>
      </c>
    </row>
    <row r="7" spans="1:10" ht="15.75" x14ac:dyDescent="0.25">
      <c r="A7" s="9" t="s">
        <v>40</v>
      </c>
      <c r="B7" s="24">
        <f>'Données  '!E5</f>
        <v>16000</v>
      </c>
      <c r="C7" s="23">
        <f>'Tableau de Répartition des C.I'!E27</f>
        <v>1.1864670215912452</v>
      </c>
      <c r="D7" s="23">
        <f>C7*B7</f>
        <v>18983.472345459923</v>
      </c>
      <c r="G7" s="9" t="s">
        <v>40</v>
      </c>
      <c r="H7" s="24">
        <f>'Données  '!E8</f>
        <v>2500</v>
      </c>
      <c r="I7" s="23">
        <f>'Tableau de Répartition des C.I'!E27</f>
        <v>1.1864670215912452</v>
      </c>
      <c r="J7" s="23">
        <f>I7*H7</f>
        <v>2966.1675539781131</v>
      </c>
    </row>
    <row r="8" spans="1:10" ht="15.75" x14ac:dyDescent="0.25">
      <c r="A8" s="9" t="s">
        <v>41</v>
      </c>
      <c r="B8" s="24">
        <f>B6</f>
        <v>16000</v>
      </c>
      <c r="C8" s="23">
        <f>D8/B8</f>
        <v>16.186467021591245</v>
      </c>
      <c r="D8" s="23">
        <f>D6+D7</f>
        <v>258983.47234545992</v>
      </c>
      <c r="G8" s="9" t="s">
        <v>41</v>
      </c>
      <c r="H8" s="24">
        <f>H6</f>
        <v>2500</v>
      </c>
      <c r="I8" s="23">
        <f>J8/H8</f>
        <v>171.18646702159123</v>
      </c>
      <c r="J8" s="23">
        <f>J7+J6</f>
        <v>427966.1675539781</v>
      </c>
    </row>
    <row r="11" spans="1:10" x14ac:dyDescent="0.25">
      <c r="A11" s="156" t="s">
        <v>168</v>
      </c>
      <c r="B11" s="156"/>
      <c r="C11" s="156"/>
      <c r="D11" s="156"/>
      <c r="G11" s="156" t="s">
        <v>169</v>
      </c>
      <c r="H11" s="156"/>
      <c r="I11" s="156"/>
      <c r="J11" s="156"/>
    </row>
    <row r="12" spans="1:10" x14ac:dyDescent="0.25">
      <c r="A12" s="156"/>
      <c r="B12" s="156"/>
      <c r="C12" s="156"/>
      <c r="D12" s="156"/>
      <c r="G12" s="156"/>
      <c r="H12" s="156"/>
      <c r="I12" s="156"/>
      <c r="J12" s="156"/>
    </row>
    <row r="15" spans="1:10" ht="15.75" x14ac:dyDescent="0.25">
      <c r="A15" s="9"/>
      <c r="B15" s="9" t="s">
        <v>36</v>
      </c>
      <c r="C15" s="10" t="s">
        <v>37</v>
      </c>
      <c r="D15" s="9" t="s">
        <v>38</v>
      </c>
      <c r="G15" s="9"/>
      <c r="H15" s="9" t="s">
        <v>36</v>
      </c>
      <c r="I15" s="9" t="s">
        <v>37</v>
      </c>
      <c r="J15" s="9" t="s">
        <v>38</v>
      </c>
    </row>
    <row r="16" spans="1:10" ht="15.75" x14ac:dyDescent="0.25">
      <c r="A16" s="9" t="s">
        <v>42</v>
      </c>
      <c r="B16" s="24">
        <f>'Données  '!E6</f>
        <v>50000</v>
      </c>
      <c r="C16" s="23">
        <f>'Données  '!F6</f>
        <v>120</v>
      </c>
      <c r="D16" s="23">
        <f>B16*C16</f>
        <v>6000000</v>
      </c>
      <c r="G16" s="9" t="s">
        <v>42</v>
      </c>
      <c r="H16" s="24">
        <f>'Données  '!E7</f>
        <v>500</v>
      </c>
      <c r="I16" s="23">
        <f>'Données  '!F7</f>
        <v>100</v>
      </c>
      <c r="J16" s="23">
        <f>I16*H16</f>
        <v>50000</v>
      </c>
    </row>
    <row r="17" spans="1:10" ht="15.75" x14ac:dyDescent="0.25">
      <c r="A17" s="9" t="s">
        <v>40</v>
      </c>
      <c r="B17" s="24">
        <f>'Données  '!E6</f>
        <v>50000</v>
      </c>
      <c r="C17" s="23">
        <f>'Tableau de Répartition des C.I'!E27</f>
        <v>1.1864670215912452</v>
      </c>
      <c r="D17" s="23">
        <f>B17*C17</f>
        <v>59323.351079562257</v>
      </c>
      <c r="G17" s="9" t="s">
        <v>40</v>
      </c>
      <c r="H17" s="24">
        <f>'Données  '!E7</f>
        <v>500</v>
      </c>
      <c r="I17" s="23">
        <f>'Tableau de Répartition des C.I'!E27</f>
        <v>1.1864670215912452</v>
      </c>
      <c r="J17" s="23">
        <f>I17*H17</f>
        <v>593.23351079562258</v>
      </c>
    </row>
    <row r="18" spans="1:10" ht="15.75" x14ac:dyDescent="0.25">
      <c r="A18" s="9" t="s">
        <v>41</v>
      </c>
      <c r="B18" s="24">
        <f>B16</f>
        <v>50000</v>
      </c>
      <c r="C18" s="23">
        <f>D18/B18</f>
        <v>121.18646702159126</v>
      </c>
      <c r="D18" s="23">
        <f>D16+D17</f>
        <v>6059323.3510795627</v>
      </c>
      <c r="G18" s="9" t="s">
        <v>41</v>
      </c>
      <c r="H18" s="24">
        <f>H16</f>
        <v>500</v>
      </c>
      <c r="I18" s="23">
        <f>J18/H18</f>
        <v>101.18646702159126</v>
      </c>
      <c r="J18" s="23">
        <f>J16+J17</f>
        <v>50593.233510795624</v>
      </c>
    </row>
    <row r="19" spans="1:10" x14ac:dyDescent="0.25">
      <c r="B19" s="28"/>
      <c r="H19" s="28"/>
    </row>
  </sheetData>
  <mergeCells count="4">
    <mergeCell ref="A1:D2"/>
    <mergeCell ref="A11:D12"/>
    <mergeCell ref="G11:J12"/>
    <mergeCell ref="G1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="60" zoomScaleNormal="60" workbookViewId="0">
      <selection activeCell="M39" sqref="M39"/>
    </sheetView>
  </sheetViews>
  <sheetFormatPr baseColWidth="10" defaultRowHeight="15" x14ac:dyDescent="0.25"/>
  <cols>
    <col min="2" max="2" width="12.28515625" bestFit="1" customWidth="1"/>
    <col min="3" max="3" width="11.5703125" bestFit="1" customWidth="1"/>
    <col min="4" max="4" width="15.140625" bestFit="1" customWidth="1"/>
    <col min="5" max="5" width="17.7109375" customWidth="1"/>
    <col min="6" max="6" width="12.28515625" bestFit="1" customWidth="1"/>
    <col min="7" max="7" width="11.5703125" bestFit="1" customWidth="1"/>
    <col min="8" max="8" width="15.140625" bestFit="1" customWidth="1"/>
    <col min="13" max="13" width="15.7109375" customWidth="1"/>
    <col min="14" max="14" width="17.42578125" customWidth="1"/>
    <col min="17" max="17" width="16.140625" customWidth="1"/>
  </cols>
  <sheetData>
    <row r="1" spans="1:17" ht="15" customHeight="1" x14ac:dyDescent="0.25">
      <c r="A1" s="157" t="s">
        <v>135</v>
      </c>
      <c r="B1" s="157"/>
      <c r="C1" s="157"/>
      <c r="D1" s="157"/>
      <c r="E1" s="157"/>
      <c r="J1" s="157" t="s">
        <v>53</v>
      </c>
      <c r="K1" s="157"/>
      <c r="L1" s="157"/>
      <c r="M1" s="157"/>
      <c r="N1" s="157"/>
      <c r="O1" s="157"/>
      <c r="P1" s="157"/>
      <c r="Q1" s="157"/>
    </row>
    <row r="2" spans="1:17" ht="15" customHeight="1" x14ac:dyDescent="0.25">
      <c r="A2" s="157"/>
      <c r="B2" s="157"/>
      <c r="C2" s="157"/>
      <c r="D2" s="157"/>
      <c r="E2" s="157"/>
      <c r="J2" s="157"/>
      <c r="K2" s="157"/>
      <c r="L2" s="157"/>
      <c r="M2" s="157"/>
      <c r="N2" s="157"/>
      <c r="O2" s="157"/>
      <c r="P2" s="157"/>
      <c r="Q2" s="157"/>
    </row>
    <row r="4" spans="1:17" ht="15.75" x14ac:dyDescent="0.25">
      <c r="A4" s="9" t="s">
        <v>43</v>
      </c>
      <c r="B4" s="9" t="s">
        <v>36</v>
      </c>
      <c r="C4" s="9" t="s">
        <v>37</v>
      </c>
      <c r="D4" s="11" t="s">
        <v>38</v>
      </c>
      <c r="E4" s="9" t="s">
        <v>47</v>
      </c>
      <c r="F4" s="9" t="s">
        <v>36</v>
      </c>
      <c r="G4" s="9" t="s">
        <v>37</v>
      </c>
      <c r="H4" s="9" t="s">
        <v>38</v>
      </c>
      <c r="J4" s="9" t="s">
        <v>47</v>
      </c>
      <c r="K4" s="9" t="s">
        <v>36</v>
      </c>
      <c r="L4" s="9" t="s">
        <v>37</v>
      </c>
      <c r="M4" s="9" t="s">
        <v>38</v>
      </c>
      <c r="N4" s="9" t="s">
        <v>43</v>
      </c>
      <c r="O4" s="9" t="s">
        <v>36</v>
      </c>
      <c r="P4" s="9" t="s">
        <v>37</v>
      </c>
      <c r="Q4" s="9" t="s">
        <v>38</v>
      </c>
    </row>
    <row r="5" spans="1:17" ht="15.75" x14ac:dyDescent="0.25">
      <c r="A5" s="9" t="s">
        <v>44</v>
      </c>
      <c r="B5" s="2">
        <f>'Données  '!I7</f>
        <v>1800</v>
      </c>
      <c r="C5" s="2">
        <f>'Données  '!J7</f>
        <v>17</v>
      </c>
      <c r="D5" s="3">
        <f>C5*B5</f>
        <v>30600</v>
      </c>
      <c r="E5" s="9" t="s">
        <v>28</v>
      </c>
      <c r="F5" s="5">
        <f>'Données  '!B19</f>
        <v>750</v>
      </c>
      <c r="G5" s="2">
        <f>C8</f>
        <v>17</v>
      </c>
      <c r="H5" s="2">
        <f>G5*F5</f>
        <v>12750</v>
      </c>
      <c r="J5" s="9" t="s">
        <v>44</v>
      </c>
      <c r="K5" s="2">
        <f>'Données  '!I9</f>
        <v>3000</v>
      </c>
      <c r="L5" s="2">
        <f>'Données  '!J9</f>
        <v>150</v>
      </c>
      <c r="M5" s="2">
        <f>L5*K5</f>
        <v>450000</v>
      </c>
      <c r="N5" s="9" t="s">
        <v>28</v>
      </c>
      <c r="O5" s="24">
        <f>'Données  '!B21</f>
        <v>3000</v>
      </c>
      <c r="P5" s="5">
        <f>L7</f>
        <v>150</v>
      </c>
      <c r="Q5" s="2">
        <f>P5*O5</f>
        <v>450000</v>
      </c>
    </row>
    <row r="6" spans="1:17" ht="15.75" x14ac:dyDescent="0.25">
      <c r="A6" s="9" t="s">
        <v>45</v>
      </c>
      <c r="B6" s="5" t="s">
        <v>136</v>
      </c>
      <c r="C6" s="5" t="s">
        <v>136</v>
      </c>
      <c r="D6" s="3" t="s">
        <v>136</v>
      </c>
      <c r="E6" s="9" t="s">
        <v>48</v>
      </c>
      <c r="F6" s="2">
        <f>'Données  '!I37</f>
        <v>1000</v>
      </c>
      <c r="G6" s="2">
        <f>C8</f>
        <v>17</v>
      </c>
      <c r="H6" s="5">
        <f>G6*F6</f>
        <v>17000</v>
      </c>
      <c r="J6" s="9" t="s">
        <v>51</v>
      </c>
      <c r="K6" s="5" t="s">
        <v>136</v>
      </c>
      <c r="L6" s="5" t="s">
        <v>136</v>
      </c>
      <c r="M6" s="5" t="s">
        <v>136</v>
      </c>
      <c r="N6" s="9" t="s">
        <v>48</v>
      </c>
      <c r="O6" s="24">
        <f>'Données  '!I39</f>
        <v>0</v>
      </c>
      <c r="P6" s="5" t="s">
        <v>136</v>
      </c>
      <c r="Q6" s="5" t="s">
        <v>136</v>
      </c>
    </row>
    <row r="7" spans="1:17" ht="15.75" x14ac:dyDescent="0.25">
      <c r="A7" s="9"/>
      <c r="B7" s="2"/>
      <c r="C7" s="2"/>
      <c r="D7" s="3"/>
      <c r="E7" s="9" t="s">
        <v>49</v>
      </c>
      <c r="F7" s="2">
        <f>B8-(F5+F6)</f>
        <v>50</v>
      </c>
      <c r="G7" s="2">
        <f>C8</f>
        <v>17</v>
      </c>
      <c r="H7" s="5">
        <f>G7*F7</f>
        <v>850</v>
      </c>
      <c r="J7" s="9" t="s">
        <v>46</v>
      </c>
      <c r="K7" s="2">
        <f>K5</f>
        <v>3000</v>
      </c>
      <c r="L7" s="2">
        <f>L5</f>
        <v>150</v>
      </c>
      <c r="M7" s="2">
        <f>M5</f>
        <v>450000</v>
      </c>
      <c r="N7" s="9" t="s">
        <v>46</v>
      </c>
      <c r="O7" s="24">
        <f>O5+O6</f>
        <v>3000</v>
      </c>
      <c r="P7" s="2">
        <f>Q7/O7</f>
        <v>150</v>
      </c>
      <c r="Q7" s="2">
        <f>Q5</f>
        <v>450000</v>
      </c>
    </row>
    <row r="8" spans="1:17" ht="15.75" x14ac:dyDescent="0.25">
      <c r="A8" s="9" t="s">
        <v>46</v>
      </c>
      <c r="B8" s="2">
        <f>B5</f>
        <v>1800</v>
      </c>
      <c r="C8" s="2">
        <f>D8/B8</f>
        <v>17</v>
      </c>
      <c r="D8" s="3">
        <f>D5</f>
        <v>30600</v>
      </c>
      <c r="E8" s="9" t="s">
        <v>46</v>
      </c>
      <c r="F8" s="2">
        <f>F7+F6+F5</f>
        <v>1800</v>
      </c>
      <c r="G8" s="2">
        <f>H8/F8</f>
        <v>17</v>
      </c>
      <c r="H8" s="2">
        <f>H7+H6+H5</f>
        <v>30600</v>
      </c>
    </row>
    <row r="9" spans="1:17" ht="15" customHeight="1" x14ac:dyDescent="0.25">
      <c r="J9" s="157" t="s">
        <v>54</v>
      </c>
      <c r="K9" s="157"/>
      <c r="L9" s="157"/>
      <c r="M9" s="157"/>
      <c r="N9" s="157"/>
      <c r="O9" s="157"/>
      <c r="P9" s="157"/>
      <c r="Q9" s="157"/>
    </row>
    <row r="10" spans="1:17" ht="15" customHeight="1" x14ac:dyDescent="0.25">
      <c r="J10" s="157"/>
      <c r="K10" s="157"/>
      <c r="L10" s="157"/>
      <c r="M10" s="157"/>
      <c r="N10" s="157"/>
      <c r="O10" s="157"/>
      <c r="P10" s="157"/>
      <c r="Q10" s="157"/>
    </row>
    <row r="11" spans="1:17" x14ac:dyDescent="0.25">
      <c r="A11" s="157" t="s">
        <v>50</v>
      </c>
      <c r="B11" s="157"/>
      <c r="C11" s="157"/>
      <c r="D11" s="157"/>
      <c r="E11" s="157"/>
    </row>
    <row r="12" spans="1:17" ht="15.75" x14ac:dyDescent="0.25">
      <c r="A12" s="157"/>
      <c r="B12" s="157"/>
      <c r="C12" s="157"/>
      <c r="D12" s="157"/>
      <c r="E12" s="157"/>
      <c r="J12" s="9" t="s">
        <v>47</v>
      </c>
      <c r="K12" s="9" t="s">
        <v>36</v>
      </c>
      <c r="L12" s="9" t="s">
        <v>37</v>
      </c>
      <c r="M12" s="9" t="s">
        <v>38</v>
      </c>
      <c r="N12" s="9" t="s">
        <v>43</v>
      </c>
      <c r="O12" s="9" t="s">
        <v>36</v>
      </c>
      <c r="P12" s="9" t="s">
        <v>37</v>
      </c>
      <c r="Q12" s="9" t="s">
        <v>38</v>
      </c>
    </row>
    <row r="13" spans="1:17" ht="15.75" x14ac:dyDescent="0.25">
      <c r="J13" s="9" t="s">
        <v>44</v>
      </c>
      <c r="K13" s="24">
        <f>'Données  '!I10</f>
        <v>500</v>
      </c>
      <c r="L13" s="23">
        <f>'Données  '!J10</f>
        <v>180</v>
      </c>
      <c r="M13" s="23">
        <f>L13*K13</f>
        <v>90000</v>
      </c>
      <c r="N13" s="26" t="s">
        <v>28</v>
      </c>
      <c r="O13" s="24">
        <f>'Données  '!B22</f>
        <v>2000</v>
      </c>
      <c r="P13" s="23">
        <f>L15</f>
        <v>171.66666666666666</v>
      </c>
      <c r="Q13" s="23">
        <f>P13*O13</f>
        <v>343333.33333333331</v>
      </c>
    </row>
    <row r="14" spans="1:17" ht="15.75" x14ac:dyDescent="0.25">
      <c r="A14" s="9" t="s">
        <v>47</v>
      </c>
      <c r="B14" s="9" t="s">
        <v>36</v>
      </c>
      <c r="C14" s="9" t="s">
        <v>37</v>
      </c>
      <c r="D14" s="9" t="s">
        <v>38</v>
      </c>
      <c r="E14" s="9" t="s">
        <v>43</v>
      </c>
      <c r="F14" s="9" t="s">
        <v>36</v>
      </c>
      <c r="G14" s="9" t="s">
        <v>37</v>
      </c>
      <c r="H14" s="9" t="s">
        <v>38</v>
      </c>
      <c r="J14" s="9" t="s">
        <v>51</v>
      </c>
      <c r="K14" s="24">
        <f>'Données  '!E8</f>
        <v>2500</v>
      </c>
      <c r="L14" s="23">
        <f>'Données  '!F8</f>
        <v>170</v>
      </c>
      <c r="M14" s="23">
        <f>L14*K14</f>
        <v>425000</v>
      </c>
      <c r="N14" s="26" t="s">
        <v>48</v>
      </c>
      <c r="O14" s="24">
        <f>'Données  '!I40</f>
        <v>1000</v>
      </c>
      <c r="P14" s="23">
        <f>L15</f>
        <v>171.66666666666666</v>
      </c>
      <c r="Q14" s="23">
        <f>P14*O14</f>
        <v>171666.66666666666</v>
      </c>
    </row>
    <row r="15" spans="1:17" ht="15.75" x14ac:dyDescent="0.25">
      <c r="A15" s="9" t="s">
        <v>44</v>
      </c>
      <c r="B15" s="24">
        <f>'Données  '!I6</f>
        <v>5000</v>
      </c>
      <c r="C15" s="23">
        <f>'Données  '!J6</f>
        <v>122</v>
      </c>
      <c r="D15" s="23">
        <f>C15*B15</f>
        <v>610000</v>
      </c>
      <c r="E15" s="26" t="s">
        <v>28</v>
      </c>
      <c r="F15" s="24">
        <f>'Données  '!B18</f>
        <v>51000</v>
      </c>
      <c r="G15" s="23">
        <f>C17</f>
        <v>121.26042456508296</v>
      </c>
      <c r="H15" s="23">
        <f>G15*F15</f>
        <v>6184281.6528192312</v>
      </c>
      <c r="J15" s="9" t="s">
        <v>46</v>
      </c>
      <c r="K15" s="24">
        <f>K14+K13</f>
        <v>3000</v>
      </c>
      <c r="L15" s="23">
        <f>M15/K15</f>
        <v>171.66666666666666</v>
      </c>
      <c r="M15" s="23">
        <f>M13+M14</f>
        <v>515000</v>
      </c>
      <c r="N15" s="26" t="s">
        <v>46</v>
      </c>
      <c r="O15" s="24">
        <f>O14+O13</f>
        <v>3000</v>
      </c>
      <c r="P15" s="23">
        <f>Q15/O15</f>
        <v>171.66666666666666</v>
      </c>
      <c r="Q15" s="23">
        <f>Q14+Q13</f>
        <v>515000</v>
      </c>
    </row>
    <row r="16" spans="1:17" ht="15.75" x14ac:dyDescent="0.25">
      <c r="A16" s="9" t="s">
        <v>51</v>
      </c>
      <c r="B16" s="24">
        <f>'Données  '!E6</f>
        <v>50000</v>
      </c>
      <c r="C16" s="23">
        <f>'Coût d''achat'!C18</f>
        <v>121.18646702159126</v>
      </c>
      <c r="D16" s="23">
        <f>C16*B16</f>
        <v>6059323.3510795627</v>
      </c>
      <c r="E16" s="26" t="s">
        <v>48</v>
      </c>
      <c r="F16" s="24">
        <f>'Données  '!I35</f>
        <v>4000</v>
      </c>
      <c r="G16" s="23">
        <f>C17</f>
        <v>121.26042456508296</v>
      </c>
      <c r="H16" s="23">
        <f>G16*F16</f>
        <v>485041.69826033182</v>
      </c>
      <c r="O16" s="28"/>
    </row>
    <row r="17" spans="1:17" ht="15.75" customHeight="1" x14ac:dyDescent="0.25">
      <c r="A17" s="9" t="s">
        <v>46</v>
      </c>
      <c r="B17" s="24">
        <f>B16+B15</f>
        <v>55000</v>
      </c>
      <c r="C17" s="23">
        <f>D17/B17</f>
        <v>121.26042456508296</v>
      </c>
      <c r="D17" s="23">
        <f>D16+D15</f>
        <v>6669323.3510795627</v>
      </c>
      <c r="E17" s="26" t="s">
        <v>46</v>
      </c>
      <c r="F17" s="24">
        <f>F16+F15</f>
        <v>55000</v>
      </c>
      <c r="G17" s="23">
        <f>H17/F17</f>
        <v>121.26042456508296</v>
      </c>
      <c r="H17" s="23">
        <f>H16+H15</f>
        <v>6669323.3510795627</v>
      </c>
    </row>
    <row r="18" spans="1:17" ht="15" customHeight="1" x14ac:dyDescent="0.25">
      <c r="F18" s="28"/>
    </row>
    <row r="20" spans="1:17" x14ac:dyDescent="0.25">
      <c r="A20" s="157" t="s">
        <v>134</v>
      </c>
      <c r="B20" s="157"/>
      <c r="C20" s="157"/>
      <c r="D20" s="157"/>
      <c r="E20" s="157"/>
      <c r="J20" s="157" t="s">
        <v>52</v>
      </c>
      <c r="K20" s="157"/>
      <c r="L20" s="157"/>
      <c r="M20" s="157"/>
      <c r="N20" s="157"/>
      <c r="O20" s="157"/>
      <c r="P20" s="157"/>
    </row>
    <row r="21" spans="1:17" ht="15" customHeight="1" x14ac:dyDescent="0.25">
      <c r="A21" s="157"/>
      <c r="B21" s="157"/>
      <c r="C21" s="157"/>
      <c r="D21" s="157"/>
      <c r="E21" s="157"/>
      <c r="J21" s="157"/>
      <c r="K21" s="157"/>
      <c r="L21" s="157"/>
      <c r="M21" s="157"/>
      <c r="N21" s="157"/>
      <c r="O21" s="157"/>
      <c r="P21" s="157"/>
    </row>
    <row r="22" spans="1:17" ht="15" customHeight="1" x14ac:dyDescent="0.25"/>
    <row r="23" spans="1:17" ht="15.75" x14ac:dyDescent="0.25">
      <c r="A23" s="9" t="s">
        <v>43</v>
      </c>
      <c r="B23" s="9" t="s">
        <v>36</v>
      </c>
      <c r="C23" s="9" t="s">
        <v>37</v>
      </c>
      <c r="D23" s="11" t="s">
        <v>38</v>
      </c>
      <c r="E23" s="9" t="s">
        <v>47</v>
      </c>
      <c r="F23" s="9" t="s">
        <v>36</v>
      </c>
      <c r="G23" s="9" t="s">
        <v>37</v>
      </c>
      <c r="H23" s="9" t="s">
        <v>38</v>
      </c>
      <c r="J23" s="14" t="s">
        <v>47</v>
      </c>
      <c r="K23" s="27" t="s">
        <v>36</v>
      </c>
      <c r="L23" s="14" t="s">
        <v>37</v>
      </c>
      <c r="M23" s="14" t="s">
        <v>38</v>
      </c>
      <c r="N23" s="14" t="s">
        <v>43</v>
      </c>
      <c r="O23" s="14" t="s">
        <v>36</v>
      </c>
      <c r="P23" s="14" t="s">
        <v>37</v>
      </c>
      <c r="Q23" s="14" t="s">
        <v>38</v>
      </c>
    </row>
    <row r="24" spans="1:17" ht="15.75" x14ac:dyDescent="0.25">
      <c r="A24" s="9" t="s">
        <v>44</v>
      </c>
      <c r="B24" s="24">
        <f>'Données  '!I5</f>
        <v>3500</v>
      </c>
      <c r="C24" s="23">
        <f>'Données  '!J5</f>
        <v>18</v>
      </c>
      <c r="D24" s="25">
        <f>C24*B24</f>
        <v>63000</v>
      </c>
      <c r="E24" s="26" t="s">
        <v>28</v>
      </c>
      <c r="F24" s="24">
        <f>'Données  '!B17</f>
        <v>19000</v>
      </c>
      <c r="G24" s="23">
        <f>C27</f>
        <v>16.511972940792816</v>
      </c>
      <c r="H24" s="23">
        <f>G24*F24</f>
        <v>313727.48587506352</v>
      </c>
      <c r="J24" s="14" t="s">
        <v>44</v>
      </c>
      <c r="K24" s="24">
        <f>'Données  '!I8</f>
        <v>250</v>
      </c>
      <c r="L24" s="23">
        <f>'Données  '!J8</f>
        <v>90</v>
      </c>
      <c r="M24" s="23">
        <f>K24*L24</f>
        <v>22500</v>
      </c>
      <c r="N24" s="26" t="s">
        <v>28</v>
      </c>
      <c r="O24" s="24">
        <f>'Données  '!B20</f>
        <v>650</v>
      </c>
      <c r="P24" s="23">
        <f>L26</f>
        <v>97.457644681060842</v>
      </c>
      <c r="Q24" s="23">
        <f>P24*O24</f>
        <v>63347.469042689547</v>
      </c>
    </row>
    <row r="25" spans="1:17" ht="15.75" x14ac:dyDescent="0.25">
      <c r="A25" s="9" t="s">
        <v>45</v>
      </c>
      <c r="B25" s="24">
        <f>'Données  '!E5</f>
        <v>16000</v>
      </c>
      <c r="C25" s="23">
        <f>'Coût d''achat'!C8</f>
        <v>16.186467021591245</v>
      </c>
      <c r="D25" s="25">
        <f>C25*B25</f>
        <v>258983.47234545992</v>
      </c>
      <c r="E25" s="26" t="s">
        <v>48</v>
      </c>
      <c r="F25" s="24">
        <f>'Données  '!I36</f>
        <v>480</v>
      </c>
      <c r="G25" s="23">
        <f>C27</f>
        <v>16.511972940792816</v>
      </c>
      <c r="H25" s="23">
        <f>G25*F25</f>
        <v>7925.7470115805518</v>
      </c>
      <c r="J25" s="14" t="s">
        <v>51</v>
      </c>
      <c r="K25" s="24">
        <f>'Données  '!E7</f>
        <v>500</v>
      </c>
      <c r="L25" s="23">
        <f>'Coût d''achat'!I18</f>
        <v>101.18646702159126</v>
      </c>
      <c r="M25" s="23">
        <f>K25*L25</f>
        <v>50593.233510795624</v>
      </c>
      <c r="N25" s="26" t="s">
        <v>48</v>
      </c>
      <c r="O25" s="24">
        <f>'Données  '!I38</f>
        <v>100</v>
      </c>
      <c r="P25" s="23">
        <f>L26</f>
        <v>97.457644681060842</v>
      </c>
      <c r="Q25" s="23">
        <f>P25*O25</f>
        <v>9745.7644681060847</v>
      </c>
    </row>
    <row r="26" spans="1:17" ht="15.75" x14ac:dyDescent="0.25">
      <c r="A26" s="9"/>
      <c r="B26" s="24"/>
      <c r="C26" s="23"/>
      <c r="D26" s="25"/>
      <c r="E26" s="26" t="s">
        <v>49</v>
      </c>
      <c r="F26" s="24">
        <f>B27-(F24+F25)</f>
        <v>20</v>
      </c>
      <c r="G26" s="23">
        <f>C27</f>
        <v>16.511972940792816</v>
      </c>
      <c r="H26" s="23">
        <f>G26*F26</f>
        <v>330.23945881585632</v>
      </c>
      <c r="J26" s="9" t="s">
        <v>46</v>
      </c>
      <c r="K26" s="24">
        <f>K25+K24</f>
        <v>750</v>
      </c>
      <c r="L26" s="23">
        <f>M26/K26</f>
        <v>97.457644681060842</v>
      </c>
      <c r="M26" s="23">
        <f>M25+M24</f>
        <v>73093.233510795631</v>
      </c>
      <c r="N26" s="26" t="s">
        <v>46</v>
      </c>
      <c r="O26" s="24">
        <f>O25+O24</f>
        <v>750</v>
      </c>
      <c r="P26" s="23">
        <f>Q26/O26</f>
        <v>97.457644681060842</v>
      </c>
      <c r="Q26" s="23">
        <f>Q25+Q24</f>
        <v>73093.233510795631</v>
      </c>
    </row>
    <row r="27" spans="1:17" ht="15.75" customHeight="1" x14ac:dyDescent="0.25">
      <c r="A27" s="9" t="s">
        <v>46</v>
      </c>
      <c r="B27" s="24">
        <f>B24+B25</f>
        <v>19500</v>
      </c>
      <c r="C27" s="23">
        <f>D27/B27</f>
        <v>16.511972940792816</v>
      </c>
      <c r="D27" s="25">
        <f>D25+D24</f>
        <v>321983.47234545992</v>
      </c>
      <c r="E27" s="26" t="s">
        <v>46</v>
      </c>
      <c r="F27" s="24">
        <f>F24+F25+F26</f>
        <v>19500</v>
      </c>
      <c r="G27" s="23">
        <f>H27/F27</f>
        <v>16.511972940792816</v>
      </c>
      <c r="H27" s="23">
        <f>H26+H25+H24</f>
        <v>321983.47234545992</v>
      </c>
    </row>
    <row r="28" spans="1:17" ht="15" customHeight="1" x14ac:dyDescent="0.25">
      <c r="F28" s="28"/>
    </row>
    <row r="30" spans="1:17" ht="15.75" customHeight="1" x14ac:dyDescent="0.25"/>
    <row r="31" spans="1:17" ht="15.75" customHeight="1" x14ac:dyDescent="0.25"/>
  </sheetData>
  <mergeCells count="6">
    <mergeCell ref="J1:Q2"/>
    <mergeCell ref="J9:Q10"/>
    <mergeCell ref="J20:P21"/>
    <mergeCell ref="A1:E2"/>
    <mergeCell ref="A11:E12"/>
    <mergeCell ref="A20:E21"/>
  </mergeCells>
  <pageMargins left="0.7" right="0.7" top="0.75" bottom="0.75" header="0.3" footer="0.3"/>
  <ignoredErrors>
    <ignoredError sqref="C8 C17 G8 G17 P15 L26 P2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opLeftCell="A56" zoomScale="70" zoomScaleNormal="70" workbookViewId="0">
      <selection activeCell="F83" sqref="F83"/>
    </sheetView>
  </sheetViews>
  <sheetFormatPr baseColWidth="10" defaultRowHeight="15" x14ac:dyDescent="0.25"/>
  <cols>
    <col min="1" max="1" width="57" customWidth="1"/>
    <col min="3" max="3" width="12" customWidth="1"/>
    <col min="4" max="4" width="18" customWidth="1"/>
    <col min="7" max="7" width="16.140625" customWidth="1"/>
    <col min="8" max="8" width="51.85546875" customWidth="1"/>
    <col min="9" max="9" width="11.5703125" bestFit="1" customWidth="1"/>
    <col min="10" max="11" width="13" bestFit="1" customWidth="1"/>
  </cols>
  <sheetData>
    <row r="1" spans="1:12" x14ac:dyDescent="0.25">
      <c r="A1" s="157" t="s">
        <v>172</v>
      </c>
      <c r="B1" s="157"/>
      <c r="C1" s="157"/>
      <c r="D1" s="157"/>
      <c r="E1" s="157"/>
      <c r="H1" s="157" t="s">
        <v>173</v>
      </c>
      <c r="I1" s="157"/>
      <c r="J1" s="157"/>
      <c r="K1" s="157"/>
      <c r="L1" s="157"/>
    </row>
    <row r="2" spans="1:12" x14ac:dyDescent="0.25">
      <c r="A2" s="157"/>
      <c r="B2" s="157"/>
      <c r="C2" s="157"/>
      <c r="D2" s="157"/>
      <c r="E2" s="157"/>
      <c r="H2" s="157"/>
      <c r="I2" s="157"/>
      <c r="J2" s="157"/>
      <c r="K2" s="157"/>
      <c r="L2" s="157"/>
    </row>
    <row r="4" spans="1:12" ht="15.75" x14ac:dyDescent="0.25">
      <c r="A4" s="9"/>
      <c r="B4" s="9" t="s">
        <v>36</v>
      </c>
      <c r="C4" s="9" t="s">
        <v>37</v>
      </c>
      <c r="D4" s="9" t="s">
        <v>38</v>
      </c>
      <c r="H4" s="9"/>
      <c r="I4" s="9" t="s">
        <v>36</v>
      </c>
      <c r="J4" s="9" t="s">
        <v>37</v>
      </c>
      <c r="K4" s="9" t="s">
        <v>38</v>
      </c>
    </row>
    <row r="5" spans="1:12" ht="15.75" x14ac:dyDescent="0.25">
      <c r="A5" s="9" t="s">
        <v>55</v>
      </c>
      <c r="B5" s="2">
        <f>'Inventaires permanents '!F24*'Données  '!E18</f>
        <v>13300</v>
      </c>
      <c r="C5" s="23">
        <f>'Inventaires permanents '!C27</f>
        <v>16.511972940792816</v>
      </c>
      <c r="D5" s="2">
        <f>C5*B5</f>
        <v>219609.24011254444</v>
      </c>
      <c r="H5" s="9" t="s">
        <v>55</v>
      </c>
      <c r="I5" s="24">
        <f>'Inventaires permanents '!F24*'Données  '!F18</f>
        <v>5700</v>
      </c>
      <c r="J5" s="23">
        <f>'Inventaires permanents '!C27</f>
        <v>16.511972940792816</v>
      </c>
      <c r="K5" s="23">
        <f>J5*I5</f>
        <v>94118.245762519058</v>
      </c>
    </row>
    <row r="6" spans="1:12" ht="15.75" x14ac:dyDescent="0.25">
      <c r="A6" s="9" t="s">
        <v>56</v>
      </c>
      <c r="B6" s="2">
        <f>'Données  '!B34</f>
        <v>105</v>
      </c>
      <c r="C6" s="23">
        <f>'Données  '!C34</f>
        <v>9.5</v>
      </c>
      <c r="D6" s="5">
        <f t="shared" ref="D6:D7" si="0">C6*B6</f>
        <v>997.5</v>
      </c>
      <c r="H6" s="9" t="s">
        <v>56</v>
      </c>
      <c r="I6" s="24">
        <f>'Données  '!D34</f>
        <v>45</v>
      </c>
      <c r="J6" s="23">
        <f>'Données  '!E34</f>
        <v>9</v>
      </c>
      <c r="K6" s="23">
        <f>J6*I6</f>
        <v>405</v>
      </c>
    </row>
    <row r="7" spans="1:12" ht="15.75" x14ac:dyDescent="0.25">
      <c r="A7" s="9" t="s">
        <v>57</v>
      </c>
      <c r="B7" s="2">
        <f>B6</f>
        <v>105</v>
      </c>
      <c r="C7" s="23">
        <f>'Tableau de Répartition des C.I'!F27</f>
        <v>405.23809523809524</v>
      </c>
      <c r="D7" s="5">
        <f t="shared" si="0"/>
        <v>42550</v>
      </c>
      <c r="H7" s="9" t="s">
        <v>57</v>
      </c>
      <c r="I7" s="24">
        <f>I6</f>
        <v>45</v>
      </c>
      <c r="J7" s="23">
        <f>'Tableau de Répartition des C.I'!F27</f>
        <v>405.23809523809524</v>
      </c>
      <c r="K7" s="23">
        <f>J7*I7</f>
        <v>18235.714285714286</v>
      </c>
    </row>
    <row r="8" spans="1:12" ht="15.75" x14ac:dyDescent="0.25">
      <c r="A8" s="9" t="s">
        <v>58</v>
      </c>
      <c r="B8" s="2">
        <f>'Données  '!K19</f>
        <v>13300</v>
      </c>
      <c r="C8" s="23">
        <f>D8/B8</f>
        <v>19.786221061093567</v>
      </c>
      <c r="D8" s="2">
        <f>D7+D6+D5</f>
        <v>263156.74011254444</v>
      </c>
      <c r="H8" s="9" t="s">
        <v>58</v>
      </c>
      <c r="I8" s="24">
        <f>'Données  '!L19</f>
        <v>5700</v>
      </c>
      <c r="J8" s="23">
        <f>K8/I8</f>
        <v>19.782273692672518</v>
      </c>
      <c r="K8" s="23">
        <f>K7+K6+K5</f>
        <v>112758.96004823335</v>
      </c>
    </row>
    <row r="11" spans="1:12" x14ac:dyDescent="0.25">
      <c r="A11" s="157" t="s">
        <v>174</v>
      </c>
      <c r="B11" s="157"/>
      <c r="C11" s="157"/>
      <c r="D11" s="157"/>
      <c r="E11" s="157"/>
      <c r="H11" s="157" t="s">
        <v>175</v>
      </c>
      <c r="I11" s="157"/>
      <c r="J11" s="157"/>
      <c r="K11" s="157"/>
      <c r="L11" s="157"/>
    </row>
    <row r="12" spans="1:12" x14ac:dyDescent="0.25">
      <c r="A12" s="157"/>
      <c r="B12" s="157"/>
      <c r="C12" s="157"/>
      <c r="D12" s="157"/>
      <c r="E12" s="157"/>
      <c r="H12" s="157"/>
      <c r="I12" s="157"/>
      <c r="J12" s="157"/>
      <c r="K12" s="157"/>
      <c r="L12" s="157"/>
    </row>
    <row r="14" spans="1:12" ht="15.75" x14ac:dyDescent="0.25">
      <c r="A14" s="9"/>
      <c r="B14" s="9" t="s">
        <v>36</v>
      </c>
      <c r="C14" s="9" t="s">
        <v>37</v>
      </c>
      <c r="D14" s="9" t="s">
        <v>38</v>
      </c>
      <c r="H14" s="9"/>
      <c r="I14" s="9" t="s">
        <v>36</v>
      </c>
      <c r="J14" s="9" t="s">
        <v>37</v>
      </c>
      <c r="K14" s="9" t="s">
        <v>38</v>
      </c>
    </row>
    <row r="15" spans="1:12" ht="15.75" x14ac:dyDescent="0.25">
      <c r="A15" s="9" t="s">
        <v>59</v>
      </c>
      <c r="B15" s="2">
        <f>B8</f>
        <v>13300</v>
      </c>
      <c r="C15" s="23">
        <f>C8</f>
        <v>19.786221061093567</v>
      </c>
      <c r="D15" s="2">
        <f>B15*C15</f>
        <v>263156.74011254444</v>
      </c>
      <c r="H15" s="9" t="s">
        <v>61</v>
      </c>
      <c r="I15" s="24">
        <f>I8</f>
        <v>5700</v>
      </c>
      <c r="J15" s="23">
        <f>J8</f>
        <v>19.782273692672518</v>
      </c>
      <c r="K15" s="2">
        <f>I15*J15</f>
        <v>112758.96004823335</v>
      </c>
    </row>
    <row r="16" spans="1:12" ht="15.75" x14ac:dyDescent="0.25">
      <c r="A16" s="9" t="s">
        <v>56</v>
      </c>
      <c r="B16" s="2">
        <f>'Données  '!B35</f>
        <v>75</v>
      </c>
      <c r="C16" s="2">
        <f>'Données  '!C35</f>
        <v>8.5</v>
      </c>
      <c r="D16" s="5">
        <f>B16*C16</f>
        <v>637.5</v>
      </c>
      <c r="H16" s="9" t="s">
        <v>56</v>
      </c>
      <c r="I16" s="2">
        <f>'Données  '!D35</f>
        <v>75</v>
      </c>
      <c r="J16" s="2">
        <f>'Données  '!E35</f>
        <v>8</v>
      </c>
      <c r="K16" s="5">
        <f>I16*J16</f>
        <v>600</v>
      </c>
    </row>
    <row r="17" spans="1:13" ht="15.75" x14ac:dyDescent="0.25">
      <c r="A17" s="9" t="s">
        <v>60</v>
      </c>
      <c r="B17" s="24">
        <f>B16</f>
        <v>75</v>
      </c>
      <c r="C17" s="23">
        <f>'Tableau de Répartition des C.I'!G27</f>
        <v>305.74149659863951</v>
      </c>
      <c r="D17" s="5">
        <f>B17*C17</f>
        <v>22930.612244897962</v>
      </c>
      <c r="H17" s="9" t="s">
        <v>60</v>
      </c>
      <c r="I17" s="24">
        <f>I16</f>
        <v>75</v>
      </c>
      <c r="J17" s="23">
        <f>'Tableau de Répartition des C.I'!G27</f>
        <v>305.74149659863951</v>
      </c>
      <c r="K17" s="23">
        <f>I17*J17</f>
        <v>22930.612244897962</v>
      </c>
    </row>
    <row r="18" spans="1:13" ht="15.75" x14ac:dyDescent="0.25">
      <c r="A18" s="9" t="s">
        <v>66</v>
      </c>
      <c r="B18" s="2">
        <f>'Données  '!K20</f>
        <v>13300</v>
      </c>
      <c r="C18" s="23">
        <f>D18/B18</f>
        <v>21.558259575747552</v>
      </c>
      <c r="D18" s="2">
        <f>D15+D16+D17</f>
        <v>286724.85235744243</v>
      </c>
      <c r="H18" s="9" t="s">
        <v>67</v>
      </c>
      <c r="I18" s="2">
        <f>'Données  '!L20</f>
        <v>5700</v>
      </c>
      <c r="J18" s="23">
        <f>K18/I18</f>
        <v>23.910451279496723</v>
      </c>
      <c r="K18" s="23">
        <f>K15+K16+K17</f>
        <v>136289.57229313132</v>
      </c>
    </row>
    <row r="21" spans="1:13" ht="15" customHeight="1" x14ac:dyDescent="0.25">
      <c r="A21" s="157" t="s">
        <v>176</v>
      </c>
      <c r="B21" s="157"/>
      <c r="C21" s="157"/>
      <c r="D21" s="157"/>
      <c r="E21" s="157"/>
      <c r="H21" s="157" t="s">
        <v>177</v>
      </c>
      <c r="I21" s="157"/>
      <c r="J21" s="157"/>
      <c r="K21" s="157"/>
      <c r="L21" s="157"/>
      <c r="M21" s="157"/>
    </row>
    <row r="22" spans="1:13" ht="15" customHeight="1" x14ac:dyDescent="0.25">
      <c r="A22" s="157"/>
      <c r="B22" s="157"/>
      <c r="C22" s="157"/>
      <c r="D22" s="157"/>
      <c r="E22" s="157"/>
      <c r="H22" s="157"/>
      <c r="I22" s="157"/>
      <c r="J22" s="157"/>
      <c r="K22" s="157"/>
      <c r="L22" s="157"/>
      <c r="M22" s="157"/>
    </row>
    <row r="24" spans="1:13" ht="15.75" x14ac:dyDescent="0.25">
      <c r="A24" s="9"/>
      <c r="B24" s="9" t="s">
        <v>36</v>
      </c>
      <c r="C24" s="9" t="s">
        <v>37</v>
      </c>
      <c r="D24" s="9" t="s">
        <v>38</v>
      </c>
      <c r="H24" s="9"/>
      <c r="I24" s="9" t="s">
        <v>36</v>
      </c>
      <c r="J24" s="9" t="s">
        <v>37</v>
      </c>
      <c r="K24" s="9" t="s">
        <v>38</v>
      </c>
    </row>
    <row r="25" spans="1:13" ht="15.75" x14ac:dyDescent="0.25">
      <c r="A25" s="9" t="s">
        <v>62</v>
      </c>
      <c r="B25" s="2">
        <f>B18</f>
        <v>13300</v>
      </c>
      <c r="C25" s="23">
        <f>C18</f>
        <v>21.558259575747552</v>
      </c>
      <c r="D25" s="2">
        <f>D18</f>
        <v>286724.85235744243</v>
      </c>
      <c r="H25" s="9" t="s">
        <v>65</v>
      </c>
      <c r="I25" s="2">
        <f>I18</f>
        <v>5700</v>
      </c>
      <c r="J25" s="23">
        <f>J18</f>
        <v>23.910451279496723</v>
      </c>
      <c r="K25" s="23">
        <f>K18</f>
        <v>136289.57229313132</v>
      </c>
    </row>
    <row r="26" spans="1:13" ht="15.75" x14ac:dyDescent="0.25">
      <c r="A26" s="9" t="s">
        <v>63</v>
      </c>
      <c r="B26" s="7">
        <f>'Données  '!E21*'Données  '!B21</f>
        <v>1800</v>
      </c>
      <c r="C26" s="2">
        <f>'Inventaires permanents '!P7</f>
        <v>150</v>
      </c>
      <c r="D26" s="7">
        <f>B26*C26</f>
        <v>270000</v>
      </c>
      <c r="H26" s="9" t="s">
        <v>63</v>
      </c>
      <c r="I26" s="2">
        <f>'Inventaires permanents '!O5*'Données  '!F21</f>
        <v>1200</v>
      </c>
      <c r="J26" s="2">
        <f>'Inventaires permanents '!P7</f>
        <v>150</v>
      </c>
      <c r="K26" s="5">
        <f>I26*J26</f>
        <v>180000</v>
      </c>
    </row>
    <row r="27" spans="1:13" ht="15.75" x14ac:dyDescent="0.25">
      <c r="A27" s="9" t="s">
        <v>56</v>
      </c>
      <c r="B27" s="2">
        <f>'Données  '!B36</f>
        <v>75</v>
      </c>
      <c r="C27" s="2">
        <f>'Données  '!C36</f>
        <v>7</v>
      </c>
      <c r="D27" s="5">
        <f>B27*C27</f>
        <v>525</v>
      </c>
      <c r="H27" s="9" t="s">
        <v>56</v>
      </c>
      <c r="I27" s="2">
        <f>'Données  '!D36</f>
        <v>75</v>
      </c>
      <c r="J27" s="2">
        <f>'Données  '!E36</f>
        <v>7</v>
      </c>
      <c r="K27" s="5">
        <f>I27*J27</f>
        <v>525</v>
      </c>
    </row>
    <row r="28" spans="1:13" ht="15.75" x14ac:dyDescent="0.25">
      <c r="A28" s="9" t="s">
        <v>64</v>
      </c>
      <c r="B28" s="33">
        <f>B27</f>
        <v>75</v>
      </c>
      <c r="C28" s="23">
        <f>'Tableau de Répartition des C.I'!H27</f>
        <v>145.89482993197279</v>
      </c>
      <c r="D28" s="23">
        <f>C28*B28</f>
        <v>10942.11224489796</v>
      </c>
      <c r="H28" s="9" t="s">
        <v>64</v>
      </c>
      <c r="I28" s="24">
        <f>I27</f>
        <v>75</v>
      </c>
      <c r="J28" s="23">
        <f>'Tableau de Répartition des C.I'!H27</f>
        <v>145.89482993197279</v>
      </c>
      <c r="K28" s="23">
        <f>I28*J28</f>
        <v>10942.11224489796</v>
      </c>
    </row>
    <row r="29" spans="1:13" ht="15.75" x14ac:dyDescent="0.25">
      <c r="A29" s="9" t="s">
        <v>58</v>
      </c>
      <c r="B29" s="2">
        <f>'Données  '!K21</f>
        <v>13300</v>
      </c>
      <c r="C29" s="23">
        <f>D29/B29</f>
        <v>42.721200346040639</v>
      </c>
      <c r="D29" s="23">
        <f>D25+D26+D27+D28</f>
        <v>568191.96460234048</v>
      </c>
      <c r="H29" s="9" t="s">
        <v>66</v>
      </c>
      <c r="I29" s="2">
        <f>'Données  '!L21</f>
        <v>5700</v>
      </c>
      <c r="J29" s="23">
        <f>K29/I29</f>
        <v>57.501172725970051</v>
      </c>
      <c r="K29" s="23">
        <f>K25+K26+K27+K28</f>
        <v>327756.68453802931</v>
      </c>
    </row>
    <row r="31" spans="1:13" x14ac:dyDescent="0.25">
      <c r="A31" s="157" t="s">
        <v>178</v>
      </c>
      <c r="B31" s="157"/>
      <c r="C31" s="157"/>
      <c r="D31" s="157"/>
      <c r="E31" s="157"/>
      <c r="H31" s="157" t="s">
        <v>179</v>
      </c>
      <c r="I31" s="157"/>
      <c r="J31" s="157"/>
      <c r="K31" s="157"/>
      <c r="L31" s="157"/>
    </row>
    <row r="32" spans="1:13" x14ac:dyDescent="0.25">
      <c r="A32" s="157"/>
      <c r="B32" s="157"/>
      <c r="C32" s="157"/>
      <c r="D32" s="157"/>
      <c r="E32" s="157"/>
      <c r="H32" s="157"/>
      <c r="I32" s="157"/>
      <c r="J32" s="157"/>
      <c r="K32" s="157"/>
      <c r="L32" s="157"/>
    </row>
    <row r="34" spans="1:13" ht="15.75" x14ac:dyDescent="0.25">
      <c r="A34" s="9"/>
      <c r="B34" s="9" t="s">
        <v>36</v>
      </c>
      <c r="C34" s="9" t="s">
        <v>37</v>
      </c>
      <c r="D34" s="9" t="s">
        <v>38</v>
      </c>
      <c r="H34" s="9"/>
      <c r="I34" s="9" t="s">
        <v>36</v>
      </c>
      <c r="J34" s="9" t="s">
        <v>37</v>
      </c>
      <c r="K34" s="9" t="s">
        <v>38</v>
      </c>
    </row>
    <row r="35" spans="1:13" ht="15.75" x14ac:dyDescent="0.25">
      <c r="A35" s="9" t="s">
        <v>68</v>
      </c>
      <c r="B35" s="2">
        <f>'Inventaires permanents '!F15*'Données  '!E19</f>
        <v>30600</v>
      </c>
      <c r="C35" s="23">
        <f>'Inventaires permanents '!G17</f>
        <v>121.26042456508296</v>
      </c>
      <c r="D35" s="2">
        <f>B35*C35</f>
        <v>3710568.9916915386</v>
      </c>
      <c r="H35" s="9" t="s">
        <v>68</v>
      </c>
      <c r="I35" s="2">
        <f>'Données  '!B18*'Données  '!F19</f>
        <v>20400</v>
      </c>
      <c r="J35" s="23">
        <f>'Inventaires permanents '!G15</f>
        <v>121.26042456508296</v>
      </c>
      <c r="K35" s="2">
        <f>I35*J35</f>
        <v>2473712.6611276921</v>
      </c>
    </row>
    <row r="36" spans="1:13" ht="15.75" x14ac:dyDescent="0.25">
      <c r="A36" s="9" t="s">
        <v>69</v>
      </c>
      <c r="B36" s="2">
        <f>'Données  '!B37</f>
        <v>120</v>
      </c>
      <c r="C36" s="2">
        <f>'Données  '!C37</f>
        <v>9.5</v>
      </c>
      <c r="D36" s="5">
        <f>B36*C36</f>
        <v>1140</v>
      </c>
      <c r="H36" s="9" t="s">
        <v>69</v>
      </c>
      <c r="I36" s="2">
        <f>'Données  '!D37</f>
        <v>30</v>
      </c>
      <c r="J36" s="2">
        <f>'Données  '!E37</f>
        <v>9</v>
      </c>
      <c r="K36" s="5">
        <f>I36*J36</f>
        <v>270</v>
      </c>
    </row>
    <row r="37" spans="1:13" ht="15.75" x14ac:dyDescent="0.25">
      <c r="A37" s="9" t="s">
        <v>70</v>
      </c>
      <c r="B37" s="2">
        <f>B36</f>
        <v>120</v>
      </c>
      <c r="C37" s="23">
        <f>'Tableau de Répartition des C.I'!I27</f>
        <v>320.61482993197285</v>
      </c>
      <c r="D37" s="23">
        <f>B37*C37</f>
        <v>38473.779591836741</v>
      </c>
      <c r="H37" s="9" t="s">
        <v>70</v>
      </c>
      <c r="I37" s="2">
        <f>I36</f>
        <v>30</v>
      </c>
      <c r="J37" s="23">
        <f>'Tableau de Répartition des C.I'!I27</f>
        <v>320.61482993197285</v>
      </c>
      <c r="K37" s="23">
        <f>I37*J37</f>
        <v>9618.4448979591853</v>
      </c>
    </row>
    <row r="38" spans="1:13" ht="15.75" x14ac:dyDescent="0.25">
      <c r="A38" s="9" t="s">
        <v>71</v>
      </c>
      <c r="B38" s="5" t="s">
        <v>136</v>
      </c>
      <c r="C38" s="5" t="s">
        <v>136</v>
      </c>
      <c r="D38" s="2">
        <f>'Données  '!B4/2</f>
        <v>2126</v>
      </c>
      <c r="H38" s="9" t="s">
        <v>71</v>
      </c>
      <c r="I38" s="5" t="s">
        <v>136</v>
      </c>
      <c r="J38" s="5" t="s">
        <v>136</v>
      </c>
      <c r="K38" s="2">
        <f>'Données  '!B4/2</f>
        <v>2126</v>
      </c>
    </row>
    <row r="39" spans="1:13" ht="15.75" x14ac:dyDescent="0.25">
      <c r="A39" s="9" t="s">
        <v>58</v>
      </c>
      <c r="B39" s="2">
        <f>'Données  '!K22</f>
        <v>30600</v>
      </c>
      <c r="C39" s="23">
        <f>D39/B39</f>
        <v>122.62446964978352</v>
      </c>
      <c r="D39" s="23">
        <f>D35+D36+D37+D38</f>
        <v>3752308.7712833756</v>
      </c>
      <c r="H39" s="9" t="s">
        <v>58</v>
      </c>
      <c r="I39" s="2">
        <f>'Données  '!L22</f>
        <v>20400</v>
      </c>
      <c r="J39" s="23">
        <f>K39/I39</f>
        <v>121.84936794243387</v>
      </c>
      <c r="K39" s="23">
        <f>K35+K36+K37+K38</f>
        <v>2485727.1060256511</v>
      </c>
    </row>
    <row r="41" spans="1:13" ht="15" customHeight="1" x14ac:dyDescent="0.25">
      <c r="A41" s="157" t="s">
        <v>180</v>
      </c>
      <c r="B41" s="157"/>
      <c r="C41" s="157"/>
      <c r="D41" s="157"/>
      <c r="E41" s="157"/>
      <c r="H41" s="157" t="s">
        <v>181</v>
      </c>
      <c r="I41" s="157"/>
      <c r="J41" s="157"/>
      <c r="K41" s="157"/>
      <c r="L41" s="157"/>
      <c r="M41" s="157"/>
    </row>
    <row r="42" spans="1:13" ht="15" customHeight="1" x14ac:dyDescent="0.25">
      <c r="A42" s="157"/>
      <c r="B42" s="157"/>
      <c r="C42" s="157"/>
      <c r="D42" s="157"/>
      <c r="E42" s="157"/>
      <c r="H42" s="157"/>
      <c r="I42" s="157"/>
      <c r="J42" s="157"/>
      <c r="K42" s="157"/>
      <c r="L42" s="157"/>
      <c r="M42" s="157"/>
    </row>
    <row r="44" spans="1:13" ht="15.75" x14ac:dyDescent="0.25">
      <c r="A44" s="9"/>
      <c r="B44" s="9" t="s">
        <v>36</v>
      </c>
      <c r="C44" s="9" t="s">
        <v>37</v>
      </c>
      <c r="D44" s="9" t="s">
        <v>38</v>
      </c>
      <c r="H44" s="9"/>
      <c r="I44" s="9" t="s">
        <v>36</v>
      </c>
      <c r="J44" s="9" t="s">
        <v>37</v>
      </c>
      <c r="K44" s="9" t="s">
        <v>38</v>
      </c>
    </row>
    <row r="45" spans="1:13" ht="15.75" x14ac:dyDescent="0.25">
      <c r="A45" s="9" t="s">
        <v>72</v>
      </c>
      <c r="B45" s="2">
        <f>B39</f>
        <v>30600</v>
      </c>
      <c r="C45" s="23">
        <f>C39</f>
        <v>122.62446964978352</v>
      </c>
      <c r="D45" s="23">
        <f>D39</f>
        <v>3752308.7712833756</v>
      </c>
      <c r="H45" s="9" t="s">
        <v>74</v>
      </c>
      <c r="I45" s="2">
        <f>I39</f>
        <v>20400</v>
      </c>
      <c r="J45" s="23">
        <f>J39</f>
        <v>121.84936794243387</v>
      </c>
      <c r="K45" s="23">
        <f>K39</f>
        <v>2485727.1060256511</v>
      </c>
    </row>
    <row r="46" spans="1:13" ht="15.75" x14ac:dyDescent="0.25">
      <c r="A46" s="9" t="s">
        <v>56</v>
      </c>
      <c r="B46" s="2">
        <f>'Données  '!B38</f>
        <v>125</v>
      </c>
      <c r="C46" s="2">
        <f>'Données  '!C38</f>
        <v>8.5</v>
      </c>
      <c r="D46" s="5">
        <f>B46*C46</f>
        <v>1062.5</v>
      </c>
      <c r="H46" s="9" t="s">
        <v>56</v>
      </c>
      <c r="I46" s="2">
        <f>'Données  '!D38</f>
        <v>25</v>
      </c>
      <c r="J46" s="2">
        <f>'Données  '!E38</f>
        <v>8</v>
      </c>
      <c r="K46" s="5">
        <f>I46*J46</f>
        <v>200</v>
      </c>
    </row>
    <row r="47" spans="1:13" ht="15.75" x14ac:dyDescent="0.25">
      <c r="A47" s="9" t="s">
        <v>73</v>
      </c>
      <c r="B47" s="2">
        <f>B46</f>
        <v>125</v>
      </c>
      <c r="C47" s="23">
        <f>'Tableau de Répartition des C.I'!J27</f>
        <v>162.78476190476192</v>
      </c>
      <c r="D47" s="5">
        <f>B47*C47</f>
        <v>20348.09523809524</v>
      </c>
      <c r="H47" s="9" t="s">
        <v>73</v>
      </c>
      <c r="I47" s="2">
        <f>I46</f>
        <v>25</v>
      </c>
      <c r="J47" s="23">
        <f>'Tableau de Répartition des C.I'!J27</f>
        <v>162.78476190476192</v>
      </c>
      <c r="K47" s="5">
        <f>I47*J47</f>
        <v>4069.6190476190482</v>
      </c>
    </row>
    <row r="48" spans="1:13" ht="15.75" x14ac:dyDescent="0.25">
      <c r="A48" s="9" t="s">
        <v>67</v>
      </c>
      <c r="B48" s="2">
        <f>'Données  '!K23</f>
        <v>30600</v>
      </c>
      <c r="C48" s="23">
        <f>D48/B48</f>
        <v>123.32416230462323</v>
      </c>
      <c r="D48" s="23">
        <f>D45+D46+D47</f>
        <v>3773719.3665214707</v>
      </c>
      <c r="H48" s="9" t="s">
        <v>67</v>
      </c>
      <c r="I48" s="2">
        <f>'Données  '!L23</f>
        <v>20400</v>
      </c>
      <c r="J48" s="23">
        <f>K48/I48</f>
        <v>122.05866299378775</v>
      </c>
      <c r="K48" s="23">
        <f>K45+K46+K47</f>
        <v>2489996.72507327</v>
      </c>
    </row>
    <row r="50" spans="1:12" ht="15" customHeight="1" x14ac:dyDescent="0.25">
      <c r="A50" s="157" t="s">
        <v>182</v>
      </c>
      <c r="B50" s="157"/>
      <c r="C50" s="157"/>
      <c r="D50" s="157"/>
      <c r="E50" s="157"/>
      <c r="F50" s="157"/>
      <c r="G50" s="157"/>
      <c r="H50" s="1"/>
      <c r="I50" s="1"/>
      <c r="J50" s="1"/>
      <c r="K50" s="1"/>
      <c r="L50" s="1"/>
    </row>
    <row r="51" spans="1:12" ht="15" customHeight="1" x14ac:dyDescent="0.25">
      <c r="A51" s="157"/>
      <c r="B51" s="157"/>
      <c r="C51" s="157"/>
      <c r="D51" s="157"/>
      <c r="E51" s="157"/>
      <c r="F51" s="157"/>
      <c r="G51" s="157"/>
      <c r="H51" s="1"/>
      <c r="I51" s="1"/>
      <c r="J51" s="1"/>
      <c r="K51" s="1"/>
      <c r="L51" s="1"/>
    </row>
    <row r="53" spans="1:12" ht="15.75" x14ac:dyDescent="0.25">
      <c r="A53" s="9"/>
      <c r="B53" s="9" t="s">
        <v>36</v>
      </c>
      <c r="C53" s="9" t="s">
        <v>37</v>
      </c>
      <c r="D53" s="9" t="s">
        <v>38</v>
      </c>
    </row>
    <row r="54" spans="1:12" ht="15.75" x14ac:dyDescent="0.25">
      <c r="A54" s="9" t="s">
        <v>75</v>
      </c>
      <c r="B54" s="2">
        <f>B48</f>
        <v>30600</v>
      </c>
      <c r="C54" s="23">
        <f>C48</f>
        <v>123.32416230462323</v>
      </c>
      <c r="D54" s="23">
        <f>D48</f>
        <v>3773719.3665214707</v>
      </c>
    </row>
    <row r="55" spans="1:12" ht="15.75" x14ac:dyDescent="0.25">
      <c r="A55" s="9" t="s">
        <v>76</v>
      </c>
      <c r="B55" s="24">
        <f>'Inventaires permanents '!O13</f>
        <v>2000</v>
      </c>
      <c r="C55" s="23">
        <f>'Inventaires permanents '!P15</f>
        <v>171.66666666666666</v>
      </c>
      <c r="D55" s="23">
        <f>B55*C55</f>
        <v>343333.33333333331</v>
      </c>
    </row>
    <row r="56" spans="1:12" ht="15.75" x14ac:dyDescent="0.25">
      <c r="A56" s="9" t="s">
        <v>56</v>
      </c>
      <c r="B56" s="2">
        <f>'Données  '!B39</f>
        <v>150</v>
      </c>
      <c r="C56" s="2">
        <f>'Données  '!C39</f>
        <v>7</v>
      </c>
      <c r="D56" s="5">
        <f>B56*C56</f>
        <v>1050</v>
      </c>
    </row>
    <row r="57" spans="1:12" ht="15.75" x14ac:dyDescent="0.25">
      <c r="A57" s="9" t="s">
        <v>77</v>
      </c>
      <c r="B57" s="2">
        <f>B56</f>
        <v>150</v>
      </c>
      <c r="C57" s="23">
        <f>'Tableau de Répartition des C.I'!K27</f>
        <v>135.44149659863945</v>
      </c>
      <c r="D57" s="23">
        <f>B57*C57</f>
        <v>20316.224489795917</v>
      </c>
    </row>
    <row r="58" spans="1:12" ht="15.75" x14ac:dyDescent="0.25">
      <c r="A58" s="9" t="s">
        <v>67</v>
      </c>
      <c r="B58" s="2">
        <f>'Données  '!K24</f>
        <v>30600</v>
      </c>
      <c r="C58" s="23">
        <f>D58/B58</f>
        <v>135.24244850799346</v>
      </c>
      <c r="D58" s="23">
        <f>D54+D55+D56+D57</f>
        <v>4138418.9243446002</v>
      </c>
    </row>
    <row r="61" spans="1:12" x14ac:dyDescent="0.25">
      <c r="A61" s="157" t="s">
        <v>183</v>
      </c>
      <c r="B61" s="157"/>
      <c r="C61" s="157"/>
      <c r="D61" s="157"/>
      <c r="E61" s="157"/>
      <c r="H61" s="157" t="s">
        <v>184</v>
      </c>
      <c r="I61" s="157"/>
      <c r="J61" s="157"/>
      <c r="K61" s="157"/>
      <c r="L61" s="157"/>
    </row>
    <row r="62" spans="1:12" x14ac:dyDescent="0.25">
      <c r="A62" s="157"/>
      <c r="B62" s="157"/>
      <c r="C62" s="157"/>
      <c r="D62" s="157"/>
      <c r="E62" s="157"/>
      <c r="H62" s="157"/>
      <c r="I62" s="157"/>
      <c r="J62" s="157"/>
      <c r="K62" s="157"/>
      <c r="L62" s="157"/>
    </row>
    <row r="64" spans="1:12" ht="15.75" x14ac:dyDescent="0.25">
      <c r="A64" s="9"/>
      <c r="B64" s="9" t="s">
        <v>36</v>
      </c>
      <c r="C64" s="9" t="s">
        <v>37</v>
      </c>
      <c r="D64" s="9" t="s">
        <v>38</v>
      </c>
      <c r="H64" s="9"/>
      <c r="I64" s="9" t="s">
        <v>36</v>
      </c>
      <c r="J64" s="9" t="s">
        <v>37</v>
      </c>
      <c r="K64" s="9" t="s">
        <v>38</v>
      </c>
    </row>
    <row r="65" spans="1:11" ht="15.75" x14ac:dyDescent="0.25">
      <c r="A65" s="9" t="s">
        <v>78</v>
      </c>
      <c r="B65" s="5" t="s">
        <v>136</v>
      </c>
      <c r="C65" s="5" t="s">
        <v>136</v>
      </c>
      <c r="D65" s="2">
        <f>'Données  '!M5</f>
        <v>8402</v>
      </c>
      <c r="H65" s="9" t="s">
        <v>78</v>
      </c>
      <c r="I65" s="5" t="s">
        <v>136</v>
      </c>
      <c r="J65" s="5" t="s">
        <v>136</v>
      </c>
      <c r="K65" s="23">
        <f>'Données  '!M6</f>
        <v>3718</v>
      </c>
    </row>
    <row r="66" spans="1:11" ht="15.75" x14ac:dyDescent="0.25">
      <c r="A66" s="9" t="s">
        <v>79</v>
      </c>
      <c r="B66" s="2">
        <f>B29</f>
        <v>13300</v>
      </c>
      <c r="C66" s="23">
        <f>C29</f>
        <v>42.721200346040639</v>
      </c>
      <c r="D66" s="23">
        <f>D29</f>
        <v>568191.96460234048</v>
      </c>
      <c r="H66" s="9" t="s">
        <v>85</v>
      </c>
      <c r="I66" s="2">
        <f>I29</f>
        <v>5700</v>
      </c>
      <c r="J66" s="23">
        <f>J29</f>
        <v>57.501172725970051</v>
      </c>
      <c r="K66" s="23">
        <f>K29</f>
        <v>327756.68453802931</v>
      </c>
    </row>
    <row r="67" spans="1:11" ht="15.75" x14ac:dyDescent="0.25">
      <c r="A67" s="9" t="s">
        <v>80</v>
      </c>
      <c r="B67" s="2">
        <f>B58</f>
        <v>30600</v>
      </c>
      <c r="C67" s="40">
        <f>C58</f>
        <v>135.24244850799346</v>
      </c>
      <c r="D67" s="23">
        <f>D58</f>
        <v>4138418.9243446002</v>
      </c>
      <c r="H67" s="9" t="s">
        <v>86</v>
      </c>
      <c r="I67" s="2">
        <f>I48</f>
        <v>20400</v>
      </c>
      <c r="J67" s="23">
        <f>J48</f>
        <v>122.05866299378775</v>
      </c>
      <c r="K67" s="23">
        <f>K48</f>
        <v>2489996.72507327</v>
      </c>
    </row>
    <row r="68" spans="1:11" ht="15.75" x14ac:dyDescent="0.25">
      <c r="A68" s="9" t="s">
        <v>84</v>
      </c>
      <c r="B68" s="7">
        <f>'Données  '!B20*'Données  '!E17</f>
        <v>390</v>
      </c>
      <c r="C68" s="40">
        <f>'Inventaires permanents '!P26</f>
        <v>97.457644681060842</v>
      </c>
      <c r="D68" s="39">
        <f>B68*C68</f>
        <v>38008.481425613725</v>
      </c>
      <c r="H68" s="9" t="s">
        <v>84</v>
      </c>
      <c r="I68" s="7">
        <f>'Données  '!B20*'Données  '!F17</f>
        <v>260</v>
      </c>
      <c r="J68" s="23">
        <f>'Inventaires permanents '!P26</f>
        <v>97.457644681060842</v>
      </c>
      <c r="K68" s="23">
        <f>I68*J68</f>
        <v>25338.987617075818</v>
      </c>
    </row>
    <row r="69" spans="1:11" ht="15.75" x14ac:dyDescent="0.25">
      <c r="A69" s="9" t="s">
        <v>81</v>
      </c>
      <c r="B69" s="2">
        <f>'Données  '!B19*'Données  '!E20</f>
        <v>375</v>
      </c>
      <c r="C69" s="40">
        <f>'Inventaires permanents '!G8</f>
        <v>17</v>
      </c>
      <c r="D69" s="5">
        <f>B69*C69</f>
        <v>6375</v>
      </c>
      <c r="H69" s="9" t="s">
        <v>81</v>
      </c>
      <c r="I69" s="2">
        <f>'Données  '!B19*'Données  '!F20</f>
        <v>375</v>
      </c>
      <c r="J69" s="23">
        <f>'Inventaires permanents '!G8</f>
        <v>17</v>
      </c>
      <c r="K69" s="23">
        <f>I69*J69</f>
        <v>6375</v>
      </c>
    </row>
    <row r="70" spans="1:11" ht="15.75" x14ac:dyDescent="0.25">
      <c r="A70" s="9" t="s">
        <v>69</v>
      </c>
      <c r="B70" s="2">
        <f>'Données  '!B40</f>
        <v>80</v>
      </c>
      <c r="C70" s="40">
        <f>'Données  '!C40</f>
        <v>8.1999999999999993</v>
      </c>
      <c r="D70" s="5">
        <f>B70*C70</f>
        <v>656</v>
      </c>
      <c r="H70" s="9" t="s">
        <v>69</v>
      </c>
      <c r="I70" s="2">
        <f>'Données  '!D40</f>
        <v>70</v>
      </c>
      <c r="J70" s="23">
        <f>'Données  '!E40</f>
        <v>8.1999999999999993</v>
      </c>
      <c r="K70" s="23">
        <f>I70*J70</f>
        <v>574</v>
      </c>
    </row>
    <row r="71" spans="1:11" ht="15.75" x14ac:dyDescent="0.25">
      <c r="A71" s="9" t="s">
        <v>82</v>
      </c>
      <c r="B71" s="2">
        <f>B70</f>
        <v>80</v>
      </c>
      <c r="C71" s="40">
        <f>'Tableau de Répartition des C.I'!L27</f>
        <v>295.74149659863951</v>
      </c>
      <c r="D71" s="23">
        <f>B71*C71</f>
        <v>23659.319727891161</v>
      </c>
      <c r="H71" s="9" t="s">
        <v>82</v>
      </c>
      <c r="I71" s="2">
        <f>I70</f>
        <v>70</v>
      </c>
      <c r="J71" s="23">
        <f>'Tableau de Répartition des C.I'!L27</f>
        <v>295.74149659863951</v>
      </c>
      <c r="K71" s="23">
        <f>I71*J71</f>
        <v>20701.904761904767</v>
      </c>
    </row>
    <row r="72" spans="1:11" ht="15.75" x14ac:dyDescent="0.25">
      <c r="A72" s="9" t="s">
        <v>83</v>
      </c>
      <c r="B72" s="5" t="s">
        <v>136</v>
      </c>
      <c r="C72" s="40" t="s">
        <v>136</v>
      </c>
      <c r="D72" s="2">
        <f>'Données  '!L39</f>
        <v>4352</v>
      </c>
      <c r="H72" s="9" t="s">
        <v>83</v>
      </c>
      <c r="I72" s="5" t="s">
        <v>136</v>
      </c>
      <c r="J72" s="23" t="s">
        <v>136</v>
      </c>
      <c r="K72" s="23">
        <f>'Données  '!L40</f>
        <v>2008</v>
      </c>
    </row>
    <row r="73" spans="1:11" ht="15.75" x14ac:dyDescent="0.25">
      <c r="A73" s="9" t="s">
        <v>58</v>
      </c>
      <c r="B73" s="2">
        <f>'Données  '!K25</f>
        <v>6300</v>
      </c>
      <c r="C73" s="40">
        <f>D73/B73</f>
        <v>758.62852223816606</v>
      </c>
      <c r="D73" s="40">
        <f>D65+D66+D67+D68+D69+D70+D71-D72</f>
        <v>4779359.6901004463</v>
      </c>
      <c r="H73" s="9" t="s">
        <v>58</v>
      </c>
      <c r="I73" s="2">
        <f>'Données  '!L25</f>
        <v>6300</v>
      </c>
      <c r="J73" s="23">
        <f>K73/I73</f>
        <v>455.9449685698857</v>
      </c>
      <c r="K73" s="23">
        <f>K65+K66+K67+K68+K69+K70+K71-K72</f>
        <v>2872453.3019902799</v>
      </c>
    </row>
    <row r="74" spans="1:11" x14ac:dyDescent="0.25">
      <c r="H74" s="12"/>
    </row>
    <row r="75" spans="1:11" x14ac:dyDescent="0.25">
      <c r="H75" s="12"/>
    </row>
    <row r="76" spans="1:11" x14ac:dyDescent="0.25">
      <c r="H76" s="12"/>
    </row>
  </sheetData>
  <mergeCells count="13">
    <mergeCell ref="A1:E2"/>
    <mergeCell ref="H1:L2"/>
    <mergeCell ref="A11:E12"/>
    <mergeCell ref="H11:L12"/>
    <mergeCell ref="A61:E62"/>
    <mergeCell ref="H61:L62"/>
    <mergeCell ref="H21:M22"/>
    <mergeCell ref="H41:M42"/>
    <mergeCell ref="A50:G51"/>
    <mergeCell ref="A21:E22"/>
    <mergeCell ref="A31:E32"/>
    <mergeCell ref="H31:L32"/>
    <mergeCell ref="A41:E42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zoomScale="70" zoomScaleNormal="70" workbookViewId="0">
      <selection activeCell="C8" sqref="C8"/>
    </sheetView>
  </sheetViews>
  <sheetFormatPr baseColWidth="10" defaultRowHeight="15" x14ac:dyDescent="0.25"/>
  <cols>
    <col min="7" max="7" width="11.5703125" bestFit="1" customWidth="1"/>
    <col min="8" max="8" width="14.28515625" bestFit="1" customWidth="1"/>
    <col min="18" max="18" width="15.42578125" bestFit="1" customWidth="1"/>
  </cols>
  <sheetData>
    <row r="1" spans="1:18" x14ac:dyDescent="0.25">
      <c r="A1" s="157" t="s">
        <v>87</v>
      </c>
      <c r="B1" s="157"/>
      <c r="C1" s="157"/>
      <c r="D1" s="157"/>
      <c r="E1" s="157"/>
      <c r="F1" s="157"/>
      <c r="G1" s="157"/>
      <c r="H1" s="157"/>
      <c r="K1" s="157" t="s">
        <v>88</v>
      </c>
      <c r="L1" s="157"/>
      <c r="M1" s="157"/>
      <c r="N1" s="157"/>
      <c r="O1" s="157"/>
      <c r="P1" s="157"/>
      <c r="Q1" s="157"/>
      <c r="R1" s="157"/>
    </row>
    <row r="2" spans="1:18" x14ac:dyDescent="0.25">
      <c r="A2" s="157"/>
      <c r="B2" s="157"/>
      <c r="C2" s="157"/>
      <c r="D2" s="157"/>
      <c r="E2" s="157"/>
      <c r="F2" s="157"/>
      <c r="G2" s="157"/>
      <c r="H2" s="157"/>
      <c r="K2" s="157"/>
      <c r="L2" s="157"/>
      <c r="M2" s="157"/>
      <c r="N2" s="157"/>
      <c r="O2" s="157"/>
      <c r="P2" s="157"/>
      <c r="Q2" s="157"/>
      <c r="R2" s="157"/>
    </row>
    <row r="4" spans="1:18" ht="15.75" x14ac:dyDescent="0.25">
      <c r="A4" s="9" t="s">
        <v>43</v>
      </c>
      <c r="B4" s="9" t="s">
        <v>36</v>
      </c>
      <c r="C4" s="9" t="s">
        <v>37</v>
      </c>
      <c r="D4" s="11" t="s">
        <v>38</v>
      </c>
      <c r="E4" s="9" t="s">
        <v>47</v>
      </c>
      <c r="F4" s="9" t="s">
        <v>36</v>
      </c>
      <c r="G4" s="9" t="s">
        <v>37</v>
      </c>
      <c r="H4" s="9" t="s">
        <v>38</v>
      </c>
      <c r="K4" s="9" t="s">
        <v>43</v>
      </c>
      <c r="L4" s="9" t="s">
        <v>36</v>
      </c>
      <c r="M4" s="9" t="s">
        <v>37</v>
      </c>
      <c r="N4" s="11" t="s">
        <v>38</v>
      </c>
      <c r="O4" s="9" t="s">
        <v>47</v>
      </c>
      <c r="P4" s="9" t="s">
        <v>36</v>
      </c>
      <c r="Q4" s="9" t="s">
        <v>37</v>
      </c>
      <c r="R4" s="9" t="s">
        <v>38</v>
      </c>
    </row>
    <row r="5" spans="1:18" ht="15.75" x14ac:dyDescent="0.25">
      <c r="A5" s="9" t="s">
        <v>44</v>
      </c>
      <c r="B5" s="2">
        <f>'Données  '!P6</f>
        <v>300</v>
      </c>
      <c r="C5" s="2">
        <f>'Données  '!Q6</f>
        <v>1750</v>
      </c>
      <c r="D5" s="3">
        <f>C5*B5</f>
        <v>525000</v>
      </c>
      <c r="E5" s="9" t="s">
        <v>189</v>
      </c>
      <c r="F5" s="2">
        <f>'Données  '!P18</f>
        <v>6000</v>
      </c>
      <c r="G5" s="23">
        <f>C8</f>
        <v>803.69086213643129</v>
      </c>
      <c r="H5" s="23">
        <f>G5*F5</f>
        <v>4822145.1728185881</v>
      </c>
      <c r="K5" s="9" t="s">
        <v>44</v>
      </c>
      <c r="L5" s="2">
        <f>'Données  '!P7</f>
        <v>300</v>
      </c>
      <c r="M5" s="2">
        <f>'Données  '!Q7</f>
        <v>750</v>
      </c>
      <c r="N5" s="3">
        <f>M5*L5</f>
        <v>225000</v>
      </c>
      <c r="O5" s="9" t="s">
        <v>189</v>
      </c>
      <c r="P5" s="2">
        <f>'Données  '!P19</f>
        <v>6000</v>
      </c>
      <c r="Q5" s="23">
        <f>M8</f>
        <v>469.31110636216363</v>
      </c>
      <c r="R5" s="23">
        <f>Q5*P5</f>
        <v>2815866.6381729818</v>
      </c>
    </row>
    <row r="6" spans="1:18" ht="15.75" x14ac:dyDescent="0.25">
      <c r="A6" s="9" t="s">
        <v>188</v>
      </c>
      <c r="B6" s="2">
        <f>'Couts de productions '!B73</f>
        <v>6300</v>
      </c>
      <c r="C6" s="23">
        <f>'Couts de productions '!C73</f>
        <v>758.62852223816606</v>
      </c>
      <c r="D6" s="3">
        <f>C6*B6</f>
        <v>4779359.6901004463</v>
      </c>
      <c r="E6" s="9" t="s">
        <v>48</v>
      </c>
      <c r="F6" s="2">
        <f>'Données  '!L35</f>
        <v>599</v>
      </c>
      <c r="G6" s="23">
        <f>C8</f>
        <v>803.69086213643129</v>
      </c>
      <c r="H6" s="23">
        <f>G6*F6</f>
        <v>481410.82641972235</v>
      </c>
      <c r="K6" s="9" t="s">
        <v>188</v>
      </c>
      <c r="L6" s="2">
        <f>'Couts de productions '!I73</f>
        <v>6300</v>
      </c>
      <c r="M6" s="2">
        <f>'Couts de productions '!J73</f>
        <v>455.9449685698857</v>
      </c>
      <c r="N6" s="3">
        <f>M6*L6</f>
        <v>2872453.3019902799</v>
      </c>
      <c r="O6" s="9" t="s">
        <v>48</v>
      </c>
      <c r="P6" s="2">
        <f>'Données  '!L36</f>
        <v>599</v>
      </c>
      <c r="Q6" s="23">
        <f>M8</f>
        <v>469.31110636216363</v>
      </c>
      <c r="R6" s="23">
        <f>Q6*P6</f>
        <v>281117.35271093599</v>
      </c>
    </row>
    <row r="7" spans="1:18" ht="15.75" x14ac:dyDescent="0.25">
      <c r="A7" s="9"/>
      <c r="B7" s="2"/>
      <c r="C7" s="2"/>
      <c r="D7" s="3"/>
      <c r="E7" s="9" t="s">
        <v>49</v>
      </c>
      <c r="F7" s="2">
        <f>B8-(F5+F6)</f>
        <v>1</v>
      </c>
      <c r="G7" s="23">
        <f>C8</f>
        <v>803.69086213643129</v>
      </c>
      <c r="H7" s="23">
        <f>G7*F7</f>
        <v>803.69086213643129</v>
      </c>
      <c r="K7" s="9"/>
      <c r="L7" s="2"/>
      <c r="M7" s="2"/>
      <c r="N7" s="3"/>
      <c r="O7" s="9" t="s">
        <v>49</v>
      </c>
      <c r="P7" s="2">
        <f>L8-(P5+P6)</f>
        <v>1</v>
      </c>
      <c r="Q7" s="23">
        <f>M8</f>
        <v>469.31110636216363</v>
      </c>
      <c r="R7" s="23">
        <f>Q7*P7</f>
        <v>469.31110636216363</v>
      </c>
    </row>
    <row r="8" spans="1:18" ht="15.75" x14ac:dyDescent="0.25">
      <c r="A8" s="9" t="s">
        <v>46</v>
      </c>
      <c r="B8" s="2">
        <f>B6+B5</f>
        <v>6600</v>
      </c>
      <c r="C8" s="23">
        <f>D8/B8</f>
        <v>803.69086213643129</v>
      </c>
      <c r="D8" s="3">
        <f>D6+D5</f>
        <v>5304359.6901004463</v>
      </c>
      <c r="E8" s="9" t="s">
        <v>46</v>
      </c>
      <c r="F8" s="2">
        <f>F6+F5+F7</f>
        <v>6600</v>
      </c>
      <c r="G8" s="23">
        <f>H8/F8</f>
        <v>803.69086213643141</v>
      </c>
      <c r="H8" s="23">
        <f>H7+H6+H5</f>
        <v>5304359.6901004473</v>
      </c>
      <c r="K8" s="9" t="s">
        <v>46</v>
      </c>
      <c r="L8" s="2">
        <f>L5+L6</f>
        <v>6600</v>
      </c>
      <c r="M8" s="23">
        <f>N8/L8</f>
        <v>469.31110636216363</v>
      </c>
      <c r="N8" s="3">
        <f>N6+N5</f>
        <v>3097453.3019902799</v>
      </c>
      <c r="O8" s="9" t="s">
        <v>46</v>
      </c>
      <c r="P8" s="2">
        <f>P7+P6+P5</f>
        <v>6600</v>
      </c>
      <c r="Q8" s="23">
        <f>R8/P8</f>
        <v>469.31110636216363</v>
      </c>
      <c r="R8" s="23">
        <f>R7+R6+R5</f>
        <v>3097453.3019902799</v>
      </c>
    </row>
  </sheetData>
  <mergeCells count="2">
    <mergeCell ref="A1:H2"/>
    <mergeCell ref="K1:R2"/>
  </mergeCells>
  <pageMargins left="0.7" right="0.7" top="0.75" bottom="0.75" header="0.3" footer="0.3"/>
  <ignoredErrors>
    <ignoredError sqref="C8 Q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K7" sqref="K7"/>
    </sheetView>
  </sheetViews>
  <sheetFormatPr baseColWidth="10" defaultRowHeight="15" x14ac:dyDescent="0.25"/>
  <cols>
    <col min="1" max="1" width="18.5703125" customWidth="1"/>
    <col min="4" max="4" width="11.85546875" bestFit="1" customWidth="1"/>
    <col min="9" max="9" width="18.85546875" customWidth="1"/>
    <col min="12" max="12" width="11.85546875" bestFit="1" customWidth="1"/>
  </cols>
  <sheetData>
    <row r="1" spans="1:13" x14ac:dyDescent="0.25">
      <c r="A1" s="157" t="s">
        <v>185</v>
      </c>
      <c r="B1" s="157"/>
      <c r="C1" s="157"/>
      <c r="D1" s="157"/>
      <c r="E1" s="157"/>
      <c r="I1" s="157" t="s">
        <v>186</v>
      </c>
      <c r="J1" s="157"/>
      <c r="K1" s="157"/>
      <c r="L1" s="157"/>
      <c r="M1" s="157"/>
    </row>
    <row r="2" spans="1:13" x14ac:dyDescent="0.25">
      <c r="A2" s="157"/>
      <c r="B2" s="157"/>
      <c r="C2" s="157"/>
      <c r="D2" s="157"/>
      <c r="E2" s="157"/>
      <c r="I2" s="157"/>
      <c r="J2" s="157"/>
      <c r="K2" s="157"/>
      <c r="L2" s="157"/>
      <c r="M2" s="157"/>
    </row>
    <row r="4" spans="1:13" ht="15.75" x14ac:dyDescent="0.25">
      <c r="A4" s="6"/>
      <c r="B4" s="6" t="s">
        <v>36</v>
      </c>
      <c r="C4" s="6" t="s">
        <v>37</v>
      </c>
      <c r="D4" s="6" t="s">
        <v>38</v>
      </c>
      <c r="I4" s="6"/>
      <c r="J4" s="6" t="s">
        <v>36</v>
      </c>
      <c r="K4" s="6" t="s">
        <v>37</v>
      </c>
      <c r="L4" s="6" t="s">
        <v>38</v>
      </c>
    </row>
    <row r="5" spans="1:13" ht="15.75" x14ac:dyDescent="0.25">
      <c r="A5" s="6" t="s">
        <v>190</v>
      </c>
      <c r="B5" s="4">
        <f>'Inventaire permanets produits'!F5</f>
        <v>6000</v>
      </c>
      <c r="C5" s="32">
        <f>'Inventaire permanets produits'!G5</f>
        <v>803.69086213643129</v>
      </c>
      <c r="D5" s="32">
        <f>'Inventaire permanets produits'!H5</f>
        <v>4822145.1728185881</v>
      </c>
      <c r="I5" s="6" t="s">
        <v>190</v>
      </c>
      <c r="J5" s="4">
        <f>'Inventaire permanets produits'!P5</f>
        <v>6000</v>
      </c>
      <c r="K5" s="32">
        <f>'Inventaire permanets produits'!Q8</f>
        <v>469.31110636216363</v>
      </c>
      <c r="L5" s="32">
        <f>J5*K5</f>
        <v>2815866.6381729818</v>
      </c>
    </row>
    <row r="6" spans="1:13" ht="15.75" x14ac:dyDescent="0.25">
      <c r="A6" s="6" t="s">
        <v>89</v>
      </c>
      <c r="B6" s="80">
        <f>('Données  '!P18*'Données  '!Q18)/100</f>
        <v>120000</v>
      </c>
      <c r="C6" s="32">
        <f>'Tableau de Répartition des C.I'!M27</f>
        <v>1.2089512471655328</v>
      </c>
      <c r="D6" s="4">
        <f>B6*C6</f>
        <v>145074.14965986394</v>
      </c>
      <c r="I6" s="6" t="s">
        <v>89</v>
      </c>
      <c r="J6" s="4">
        <f>('Données  '!P19*'Données  '!Q19)/100</f>
        <v>60000</v>
      </c>
      <c r="K6" s="32">
        <f>'Tableau de Répartition des C.I'!M27</f>
        <v>1.2089512471655328</v>
      </c>
      <c r="L6" s="32">
        <f>J6*K6</f>
        <v>72537.074829931968</v>
      </c>
    </row>
    <row r="7" spans="1:13" ht="15.75" x14ac:dyDescent="0.25">
      <c r="A7" s="6" t="s">
        <v>191</v>
      </c>
      <c r="B7" s="4">
        <f>'Données  '!P18</f>
        <v>6000</v>
      </c>
      <c r="C7" s="32">
        <f>D7/B7</f>
        <v>827.86988707974194</v>
      </c>
      <c r="D7" s="32">
        <f>D6+D5</f>
        <v>4967219.3224784518</v>
      </c>
      <c r="I7" s="6" t="s">
        <v>191</v>
      </c>
      <c r="J7" s="4">
        <f>'Données  '!P19</f>
        <v>6000</v>
      </c>
      <c r="K7" s="32">
        <f>L7/J7</f>
        <v>481.40061883381895</v>
      </c>
      <c r="L7" s="32">
        <f>L5+L6</f>
        <v>2888403.7130029136</v>
      </c>
    </row>
  </sheetData>
  <mergeCells count="2">
    <mergeCell ref="A1:E2"/>
    <mergeCell ref="I1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D9" sqref="D9"/>
    </sheetView>
  </sheetViews>
  <sheetFormatPr baseColWidth="10" defaultRowHeight="15" x14ac:dyDescent="0.25"/>
  <cols>
    <col min="1" max="1" width="32" customWidth="1"/>
    <col min="8" max="8" width="30.85546875" customWidth="1"/>
    <col min="11" max="11" width="20" bestFit="1" customWidth="1"/>
  </cols>
  <sheetData>
    <row r="1" spans="1:13" x14ac:dyDescent="0.25">
      <c r="A1" s="157" t="s">
        <v>93</v>
      </c>
      <c r="B1" s="157"/>
      <c r="C1" s="157"/>
      <c r="D1" s="157"/>
      <c r="E1" s="157"/>
      <c r="H1" s="157" t="s">
        <v>94</v>
      </c>
      <c r="I1" s="157"/>
      <c r="J1" s="157"/>
      <c r="K1" s="157"/>
      <c r="L1" s="157"/>
      <c r="M1" s="157"/>
    </row>
    <row r="2" spans="1:13" x14ac:dyDescent="0.25">
      <c r="A2" s="157"/>
      <c r="B2" s="157"/>
      <c r="C2" s="157"/>
      <c r="D2" s="157"/>
      <c r="E2" s="157"/>
      <c r="H2" s="157"/>
      <c r="I2" s="157"/>
      <c r="J2" s="157"/>
      <c r="K2" s="157"/>
      <c r="L2" s="157"/>
      <c r="M2" s="157"/>
    </row>
    <row r="4" spans="1:13" ht="15.75" x14ac:dyDescent="0.25">
      <c r="A4" s="6"/>
      <c r="B4" s="6" t="s">
        <v>36</v>
      </c>
      <c r="C4" s="6" t="s">
        <v>37</v>
      </c>
      <c r="D4" s="6" t="s">
        <v>38</v>
      </c>
      <c r="H4" s="6"/>
      <c r="I4" s="6" t="s">
        <v>36</v>
      </c>
      <c r="J4" s="6" t="s">
        <v>37</v>
      </c>
      <c r="K4" s="6" t="s">
        <v>38</v>
      </c>
    </row>
    <row r="5" spans="1:13" ht="15.75" x14ac:dyDescent="0.25">
      <c r="A5" s="6" t="s">
        <v>91</v>
      </c>
      <c r="B5" s="4">
        <f>'Données  '!P18</f>
        <v>6000</v>
      </c>
      <c r="C5" s="4">
        <f>'Données  '!Q18</f>
        <v>2000</v>
      </c>
      <c r="D5" s="4">
        <f>B5*C5</f>
        <v>12000000</v>
      </c>
      <c r="H5" s="6" t="s">
        <v>91</v>
      </c>
      <c r="I5" s="4">
        <f>'Données  '!P19</f>
        <v>6000</v>
      </c>
      <c r="J5" s="4">
        <f>'Données  '!Q19</f>
        <v>1000</v>
      </c>
      <c r="K5" s="32">
        <f>I5*J5</f>
        <v>6000000</v>
      </c>
    </row>
    <row r="6" spans="1:13" ht="15.75" x14ac:dyDescent="0.25">
      <c r="A6" s="6" t="s">
        <v>90</v>
      </c>
      <c r="B6" s="4">
        <f>'Cout de revient '!B7</f>
        <v>6000</v>
      </c>
      <c r="C6" s="32">
        <f>'Cout de revient '!C7</f>
        <v>827.86988707974194</v>
      </c>
      <c r="D6" s="4">
        <f>B6*C6</f>
        <v>4967219.3224784518</v>
      </c>
      <c r="H6" s="6" t="s">
        <v>90</v>
      </c>
      <c r="I6" s="4">
        <f>'Cout de revient '!J7</f>
        <v>6000</v>
      </c>
      <c r="J6" s="32">
        <f>'Cout de revient '!K7</f>
        <v>481.40061883381895</v>
      </c>
      <c r="K6" s="32">
        <f>I6*J6</f>
        <v>2888403.7130029136</v>
      </c>
    </row>
    <row r="7" spans="1:13" ht="15.75" x14ac:dyDescent="0.25">
      <c r="A7" s="6" t="s">
        <v>92</v>
      </c>
      <c r="B7" s="4">
        <f>'Données  '!P18</f>
        <v>6000</v>
      </c>
      <c r="C7" s="32">
        <f>D7/B7</f>
        <v>1172.1301129202579</v>
      </c>
      <c r="D7" s="4">
        <f>D5-D6</f>
        <v>7032780.6775215482</v>
      </c>
      <c r="H7" s="6" t="s">
        <v>92</v>
      </c>
      <c r="I7" s="4">
        <f>'Données  '!P19</f>
        <v>6000</v>
      </c>
      <c r="J7" s="32">
        <f>K7/I7</f>
        <v>518.59938116618105</v>
      </c>
      <c r="K7" s="32">
        <f>K5-K6</f>
        <v>3111596.2869970864</v>
      </c>
    </row>
  </sheetData>
  <mergeCells count="2">
    <mergeCell ref="A1:E2"/>
    <mergeCell ref="H1:M2"/>
  </mergeCells>
  <pageMargins left="0.7" right="0.7" top="0.75" bottom="0.75" header="0.3" footer="0.3"/>
  <ignoredErrors>
    <ignoredError sqref="B6 I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="70" zoomScaleNormal="70" workbookViewId="0">
      <selection activeCell="F28" sqref="F28"/>
    </sheetView>
  </sheetViews>
  <sheetFormatPr baseColWidth="10" defaultRowHeight="15" x14ac:dyDescent="0.25"/>
  <cols>
    <col min="1" max="1" width="25" customWidth="1"/>
    <col min="2" max="2" width="18.140625" customWidth="1"/>
    <col min="3" max="3" width="35.42578125" customWidth="1"/>
    <col min="4" max="4" width="19.5703125" customWidth="1"/>
  </cols>
  <sheetData>
    <row r="1" spans="1:4" ht="23.25" x14ac:dyDescent="0.25">
      <c r="A1" s="82" t="s">
        <v>142</v>
      </c>
      <c r="B1" s="15" t="s">
        <v>108</v>
      </c>
      <c r="C1" s="15" t="s">
        <v>25</v>
      </c>
      <c r="D1" s="15" t="s">
        <v>108</v>
      </c>
    </row>
    <row r="2" spans="1:4" x14ac:dyDescent="0.25">
      <c r="A2" s="143" t="s">
        <v>143</v>
      </c>
      <c r="B2" s="158">
        <f>('Données  '!E5*'Données  '!F5)+('Données  '!E6*'Données  '!F6)+('Données  '!E7*'Données  '!F7)+('Données  '!E8*'Données  '!F8)</f>
        <v>6715000</v>
      </c>
      <c r="C2" s="140" t="s">
        <v>144</v>
      </c>
      <c r="D2" s="158">
        <f>('Données  '!P18*'Données  '!Q18)+('Données  '!P19*'Données  '!Q19)</f>
        <v>18000000</v>
      </c>
    </row>
    <row r="3" spans="1:4" x14ac:dyDescent="0.25">
      <c r="A3" s="143"/>
      <c r="B3" s="158"/>
      <c r="C3" s="141"/>
      <c r="D3" s="158"/>
    </row>
    <row r="4" spans="1:4" x14ac:dyDescent="0.25">
      <c r="A4" s="143"/>
      <c r="B4" s="158"/>
      <c r="C4" s="142"/>
      <c r="D4" s="158"/>
    </row>
    <row r="5" spans="1:4" ht="15.75" customHeight="1" x14ac:dyDescent="0.25">
      <c r="A5" s="143" t="s">
        <v>194</v>
      </c>
      <c r="B5" s="158">
        <f>A22</f>
        <v>574720.1235933149</v>
      </c>
      <c r="C5" s="140" t="s">
        <v>152</v>
      </c>
      <c r="D5" s="158">
        <f>A25</f>
        <v>-43589.173580277653</v>
      </c>
    </row>
    <row r="6" spans="1:4" ht="15.75" customHeight="1" x14ac:dyDescent="0.25">
      <c r="A6" s="143"/>
      <c r="B6" s="158"/>
      <c r="C6" s="142"/>
      <c r="D6" s="158"/>
    </row>
    <row r="7" spans="1:4" ht="15.75" customHeight="1" x14ac:dyDescent="0.25">
      <c r="A7" s="143"/>
      <c r="B7" s="158"/>
      <c r="C7" s="140" t="s">
        <v>153</v>
      </c>
      <c r="D7" s="158">
        <f>A28</f>
        <v>56117.352710935986</v>
      </c>
    </row>
    <row r="8" spans="1:4" ht="15.75" customHeight="1" x14ac:dyDescent="0.25">
      <c r="A8" s="143"/>
      <c r="B8" s="158"/>
      <c r="C8" s="142"/>
      <c r="D8" s="158"/>
    </row>
    <row r="9" spans="1:4" ht="15.75" customHeight="1" x14ac:dyDescent="0.25">
      <c r="A9" s="143"/>
      <c r="B9" s="158"/>
      <c r="C9" s="140" t="s">
        <v>150</v>
      </c>
      <c r="D9" s="158">
        <f>'Données  '!L39-'Données  '!M5</f>
        <v>-4050</v>
      </c>
    </row>
    <row r="10" spans="1:4" ht="15.75" customHeight="1" x14ac:dyDescent="0.25">
      <c r="A10" s="143"/>
      <c r="B10" s="158"/>
      <c r="C10" s="142"/>
      <c r="D10" s="158"/>
    </row>
    <row r="11" spans="1:4" ht="15.75" customHeight="1" x14ac:dyDescent="0.25">
      <c r="A11" s="143"/>
      <c r="B11" s="158"/>
      <c r="C11" s="140" t="s">
        <v>151</v>
      </c>
      <c r="D11" s="158">
        <f>'Données  '!L40-'Données  '!M6</f>
        <v>-1710</v>
      </c>
    </row>
    <row r="12" spans="1:4" ht="15.75" customHeight="1" x14ac:dyDescent="0.25">
      <c r="A12" s="143"/>
      <c r="B12" s="158"/>
      <c r="C12" s="142"/>
      <c r="D12" s="158"/>
    </row>
    <row r="13" spans="1:4" ht="15.75" x14ac:dyDescent="0.25">
      <c r="A13" s="37" t="s">
        <v>145</v>
      </c>
      <c r="B13" s="32">
        <f>'Charges de la comptabilité G.'!D6</f>
        <v>247946</v>
      </c>
      <c r="C13" s="5"/>
      <c r="D13" s="4"/>
    </row>
    <row r="14" spans="1:4" ht="15.75" x14ac:dyDescent="0.25">
      <c r="A14" s="37" t="s">
        <v>146</v>
      </c>
      <c r="B14" s="4">
        <f>B2+B5+B13</f>
        <v>7537666.1235933146</v>
      </c>
      <c r="C14" s="5" t="s">
        <v>147</v>
      </c>
      <c r="D14" s="4">
        <f>D2+D5+D7+D9+D11</f>
        <v>18006768.179130659</v>
      </c>
    </row>
    <row r="15" spans="1:4" ht="15.75" x14ac:dyDescent="0.25">
      <c r="A15" s="37" t="s">
        <v>148</v>
      </c>
      <c r="B15" s="4">
        <f>D14-B14</f>
        <v>10469102.055537343</v>
      </c>
      <c r="C15" s="5"/>
      <c r="D15" s="4"/>
    </row>
    <row r="16" spans="1:4" ht="15.75" x14ac:dyDescent="0.25">
      <c r="A16" s="37" t="s">
        <v>149</v>
      </c>
      <c r="B16" s="4">
        <f>B15+B14</f>
        <v>18006768.179130659</v>
      </c>
      <c r="C16" s="5" t="s">
        <v>46</v>
      </c>
      <c r="D16" s="4">
        <f>D14</f>
        <v>18006768.179130659</v>
      </c>
    </row>
    <row r="19" spans="1:7" x14ac:dyDescent="0.25">
      <c r="A19" s="19"/>
      <c r="B19" s="19"/>
      <c r="C19" s="19"/>
      <c r="D19" s="19"/>
    </row>
    <row r="20" spans="1:7" x14ac:dyDescent="0.25">
      <c r="A20" s="19"/>
      <c r="B20" s="19"/>
      <c r="C20" s="19"/>
      <c r="D20" s="19"/>
      <c r="F20" s="83"/>
    </row>
    <row r="21" spans="1:7" x14ac:dyDescent="0.25">
      <c r="A21" s="19" t="s">
        <v>195</v>
      </c>
      <c r="B21" s="19"/>
      <c r="C21" s="19"/>
      <c r="D21" s="19"/>
    </row>
    <row r="22" spans="1:7" x14ac:dyDescent="0.25">
      <c r="A22" s="19">
        <f>(('Données  '!I5*'Données  '!J5)+('Données  '!I6*'Données  '!J6)+('Données  '!I7*'Données  '!J7)+('Données  '!I8*'Données  '!J8)+('Données  '!I9*'Données  '!J9)+('Données  '!I10*'Données  '!J10))-(('Inventaires permanents '!F6*'Inventaires permanents '!G6)+('Inventaires permanents '!F16*'Inventaires permanents '!G16)+('Inventaires permanents '!O14*'Inventaires permanents '!P14)+('Inventaires permanents '!F25*'Inventaires permanents '!G25)+('Inventaires permanents '!O25*'Inventaires permanents '!P25))</f>
        <v>574720.1235933149</v>
      </c>
      <c r="B22" s="19"/>
      <c r="C22" s="19"/>
      <c r="D22" s="19"/>
      <c r="G22" s="83"/>
    </row>
    <row r="23" spans="1:7" x14ac:dyDescent="0.25">
      <c r="A23" s="19"/>
      <c r="B23" s="19"/>
      <c r="C23" s="19"/>
      <c r="D23" s="19"/>
    </row>
    <row r="24" spans="1:7" x14ac:dyDescent="0.25">
      <c r="A24" t="s">
        <v>196</v>
      </c>
    </row>
    <row r="25" spans="1:7" x14ac:dyDescent="0.25">
      <c r="A25">
        <f>('Inventaire permanets produits'!F6*'Inventaire permanets produits'!G6)-('Données  '!P6*'Données  '!Q6)</f>
        <v>-43589.173580277653</v>
      </c>
    </row>
    <row r="27" spans="1:7" x14ac:dyDescent="0.25">
      <c r="A27" t="s">
        <v>197</v>
      </c>
    </row>
    <row r="28" spans="1:7" x14ac:dyDescent="0.25">
      <c r="A28">
        <f>('Inventaire permanets produits'!P6*'Inventaire permanets produits'!Q6)-('Données  '!P7*'Données  '!Q7)</f>
        <v>56117.352710935986</v>
      </c>
    </row>
  </sheetData>
  <mergeCells count="14">
    <mergeCell ref="A2:A4"/>
    <mergeCell ref="B2:B4"/>
    <mergeCell ref="D2:D4"/>
    <mergeCell ref="C2:C4"/>
    <mergeCell ref="A5:A12"/>
    <mergeCell ref="B5:B12"/>
    <mergeCell ref="D5:D6"/>
    <mergeCell ref="D7:D8"/>
    <mergeCell ref="D9:D10"/>
    <mergeCell ref="D11:D12"/>
    <mergeCell ref="C11:C12"/>
    <mergeCell ref="C9:C10"/>
    <mergeCell ref="C5:C6"/>
    <mergeCell ref="C7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Données  </vt:lpstr>
      <vt:lpstr>Tableau de Répartition des C.I</vt:lpstr>
      <vt:lpstr>Coût d'achat</vt:lpstr>
      <vt:lpstr>Inventaires permanents </vt:lpstr>
      <vt:lpstr>Couts de productions </vt:lpstr>
      <vt:lpstr>Inventaire permanets produits</vt:lpstr>
      <vt:lpstr>Cout de revient </vt:lpstr>
      <vt:lpstr>Résultat analytique  </vt:lpstr>
      <vt:lpstr>CPC simplifiée</vt:lpstr>
      <vt:lpstr>Charges de la comptabilité G.</vt:lpstr>
      <vt:lpstr>Concordance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Travail d'investigation</dc:title>
  <dc:creator>Othmane</dc:creator>
  <cp:lastModifiedBy>Othmane</cp:lastModifiedBy>
  <dcterms:created xsi:type="dcterms:W3CDTF">2013-12-05T11:53:50Z</dcterms:created>
  <dcterms:modified xsi:type="dcterms:W3CDTF">2014-01-07T01:27:20Z</dcterms:modified>
</cp:coreProperties>
</file>