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285" windowWidth="4575" windowHeight="1170"/>
  </bookViews>
  <sheets>
    <sheet name="Prix" sheetId="1" r:id="rId1"/>
    <sheet name="CN" sheetId="13" r:id="rId2"/>
    <sheet name="SDM" sheetId="2" r:id="rId3"/>
    <sheet name="IDP" sheetId="8" r:id="rId4"/>
    <sheet name="RANDB" sheetId="15" r:id="rId5"/>
    <sheet name="AS" sheetId="16" r:id="rId6"/>
    <sheet name="CP" sheetId="5" r:id="rId7"/>
    <sheet name="AC" sheetId="3" r:id="rId8"/>
    <sheet name="PDM" sheetId="4" r:id="rId9"/>
    <sheet name="ST" sheetId="6" r:id="rId10"/>
    <sheet name="VAR" sheetId="9" r:id="rId11"/>
    <sheet name="VLV" sheetId="11" r:id="rId12"/>
    <sheet name="Nordique" sheetId="12" r:id="rId13"/>
    <sheet name="Vieux amis" sheetId="14" r:id="rId14"/>
    <sheet name="Butins" sheetId="7" r:id="rId15"/>
  </sheets>
  <calcPr calcId="145621"/>
</workbook>
</file>

<file path=xl/calcChain.xml><?xml version="1.0" encoding="utf-8"?>
<calcChain xmlns="http://schemas.openxmlformats.org/spreadsheetml/2006/main">
  <c r="D82" i="16" l="1"/>
  <c r="D81" i="16"/>
  <c r="D80" i="16"/>
  <c r="D79" i="16"/>
  <c r="B12" i="16" l="1"/>
  <c r="B7" i="16"/>
  <c r="D103" i="16" l="1"/>
  <c r="D102" i="16"/>
  <c r="D101" i="16"/>
  <c r="D34" i="16"/>
  <c r="B120" i="16"/>
  <c r="B119" i="16"/>
  <c r="B6" i="15" l="1"/>
  <c r="B56" i="15" l="1"/>
  <c r="L104" i="7" l="1"/>
  <c r="K104" i="7"/>
  <c r="J104" i="7"/>
  <c r="I104" i="7"/>
  <c r="H104" i="7"/>
  <c r="K101" i="7"/>
  <c r="J101" i="7"/>
  <c r="I101" i="7"/>
  <c r="L100" i="7"/>
  <c r="K100" i="7"/>
  <c r="I100" i="7"/>
  <c r="H100" i="7"/>
  <c r="L99" i="7"/>
  <c r="K99" i="7"/>
  <c r="L98" i="7"/>
  <c r="K97" i="7"/>
  <c r="J97" i="7"/>
  <c r="I97" i="7"/>
  <c r="J75" i="7" l="1"/>
  <c r="H75" i="7"/>
  <c r="H73" i="7"/>
  <c r="T81" i="7"/>
  <c r="S81" i="7"/>
  <c r="R81" i="7"/>
  <c r="Q81" i="7"/>
  <c r="P81" i="7"/>
  <c r="O81" i="7"/>
  <c r="Q78" i="7"/>
  <c r="P75" i="7"/>
  <c r="R80" i="7"/>
  <c r="Q80" i="7"/>
  <c r="R79" i="7"/>
  <c r="Q79" i="7"/>
  <c r="R78" i="7"/>
  <c r="P78" i="7"/>
  <c r="O78" i="7"/>
  <c r="R77" i="7"/>
  <c r="P77" i="7"/>
  <c r="S76" i="7"/>
  <c r="R76" i="7"/>
  <c r="Q76" i="7"/>
  <c r="P76" i="7"/>
  <c r="O76" i="7"/>
  <c r="R75" i="7"/>
  <c r="Q75" i="7"/>
  <c r="O75" i="7"/>
  <c r="R74" i="7"/>
  <c r="Q74" i="7"/>
  <c r="P74" i="7"/>
  <c r="O74" i="7"/>
  <c r="T61" i="7"/>
  <c r="S61" i="7"/>
  <c r="R61" i="7"/>
  <c r="Q61" i="7"/>
  <c r="P61" i="7"/>
  <c r="O61" i="7"/>
  <c r="R55" i="7"/>
  <c r="O55" i="7"/>
  <c r="P53" i="7"/>
  <c r="R58" i="7"/>
  <c r="R57" i="7"/>
  <c r="Q57" i="7"/>
  <c r="R56" i="7"/>
  <c r="S54" i="7"/>
  <c r="R54" i="7"/>
  <c r="P54" i="7"/>
  <c r="O53" i="7"/>
  <c r="R52" i="7"/>
  <c r="Q52" i="7"/>
  <c r="P52" i="7"/>
  <c r="O52" i="7"/>
  <c r="L66" i="7"/>
  <c r="K69" i="7"/>
  <c r="J69" i="7"/>
  <c r="I67" i="7"/>
  <c r="H67" i="7"/>
  <c r="K68" i="7"/>
  <c r="J68" i="7"/>
  <c r="K67" i="7"/>
  <c r="J67" i="7"/>
  <c r="K66" i="7"/>
  <c r="I66" i="7"/>
  <c r="H66" i="7"/>
  <c r="L65" i="7"/>
  <c r="K65" i="7"/>
  <c r="I65" i="7"/>
  <c r="H65" i="7"/>
  <c r="L63" i="7"/>
  <c r="H63" i="7"/>
  <c r="K62" i="7"/>
  <c r="J62" i="7"/>
  <c r="I62" i="7"/>
  <c r="H62" i="7"/>
  <c r="B6" i="8"/>
  <c r="B67" i="8"/>
  <c r="B26" i="5" l="1"/>
  <c r="B6" i="2" l="1"/>
  <c r="B66" i="2"/>
  <c r="B7" i="13"/>
  <c r="B6" i="13"/>
  <c r="B96" i="13"/>
  <c r="B100" i="9" l="1"/>
  <c r="E110" i="9" s="1"/>
  <c r="E108" i="9"/>
  <c r="E107" i="9"/>
  <c r="B7" i="12" l="1"/>
  <c r="B124" i="12"/>
  <c r="E74" i="2"/>
  <c r="Q9" i="7" l="1"/>
  <c r="F37" i="7"/>
  <c r="F9" i="7"/>
  <c r="F19" i="7"/>
  <c r="F113" i="1" l="1"/>
  <c r="E113" i="1"/>
  <c r="I113" i="1"/>
  <c r="J113" i="1"/>
  <c r="H113" i="1"/>
  <c r="B64" i="1" l="1"/>
  <c r="B63" i="1" l="1"/>
  <c r="B62" i="1"/>
  <c r="B61" i="1"/>
  <c r="B60" i="1"/>
  <c r="B59" i="1"/>
  <c r="I111" i="1" l="1"/>
  <c r="J111" i="1"/>
  <c r="H111" i="1"/>
  <c r="E109" i="1"/>
  <c r="F109" i="1" s="1"/>
  <c r="I109" i="1"/>
  <c r="J109" i="1"/>
  <c r="H109" i="1"/>
  <c r="E111" i="1" l="1"/>
  <c r="F111" i="1" s="1"/>
  <c r="F105" i="1"/>
  <c r="E107" i="1"/>
  <c r="F107" i="1" s="1"/>
  <c r="I107" i="1"/>
  <c r="J107" i="1"/>
  <c r="H107" i="1"/>
  <c r="B58" i="1" l="1"/>
  <c r="B57" i="1"/>
  <c r="E105" i="1" l="1"/>
  <c r="E109" i="9"/>
  <c r="E106" i="9"/>
  <c r="I105" i="1"/>
  <c r="J105" i="1"/>
  <c r="H105" i="1"/>
  <c r="B55" i="1" l="1"/>
  <c r="B54" i="1"/>
  <c r="B53" i="1"/>
  <c r="E111" i="9" l="1"/>
  <c r="F80" i="1" l="1"/>
  <c r="F86" i="1" l="1"/>
  <c r="F81" i="1"/>
  <c r="F84" i="1" s="1"/>
  <c r="I70" i="1" l="1"/>
  <c r="J70" i="1"/>
  <c r="H70" i="1"/>
  <c r="E63" i="1"/>
  <c r="F64" i="1"/>
  <c r="E64" i="1" s="1"/>
  <c r="F65" i="1"/>
  <c r="E65" i="1" s="1"/>
  <c r="F66" i="1"/>
  <c r="E66" i="1" s="1"/>
  <c r="F67" i="1"/>
  <c r="E67" i="1" s="1"/>
  <c r="F68" i="1"/>
  <c r="E68" i="1" s="1"/>
  <c r="F63" i="1"/>
  <c r="B59" i="4" l="1"/>
  <c r="U4" i="1" l="1"/>
  <c r="T4" i="1"/>
  <c r="R4" i="1"/>
  <c r="B41" i="1" l="1"/>
  <c r="L69" i="1" l="1"/>
  <c r="N50" i="1" l="1"/>
  <c r="F33" i="1" l="1"/>
  <c r="Q7" i="7" l="1"/>
  <c r="Q6" i="7"/>
  <c r="Q5" i="7"/>
  <c r="Q4" i="7"/>
  <c r="E76" i="2" l="1"/>
  <c r="E77" i="2" s="1"/>
  <c r="E62" i="3"/>
  <c r="E63" i="3" s="1"/>
  <c r="E61" i="3"/>
  <c r="E70" i="4"/>
  <c r="E61" i="6"/>
  <c r="E62" i="6" s="1"/>
  <c r="E63" i="6" s="1"/>
  <c r="E69" i="4"/>
  <c r="E37" i="5"/>
  <c r="E35" i="5"/>
  <c r="E36" i="5" s="1"/>
  <c r="F35" i="7"/>
  <c r="F26" i="7"/>
  <c r="F27" i="7" s="1"/>
  <c r="F17" i="7"/>
  <c r="F18" i="7" s="1"/>
  <c r="F6" i="7"/>
  <c r="F7" i="7" s="1"/>
  <c r="F36" i="7"/>
  <c r="F33" i="7"/>
  <c r="F34" i="7" s="1"/>
  <c r="F24" i="7"/>
  <c r="F25" i="7" s="1"/>
  <c r="F5" i="7"/>
  <c r="F15" i="7"/>
  <c r="F16" i="7" s="1"/>
  <c r="F4" i="7"/>
  <c r="E73" i="2"/>
  <c r="E75" i="2" s="1"/>
  <c r="E60" i="3"/>
  <c r="E59" i="3"/>
  <c r="E58" i="3"/>
  <c r="E68" i="4"/>
  <c r="C60" i="4"/>
  <c r="E67" i="4"/>
  <c r="E34" i="5"/>
  <c r="E60" i="6"/>
  <c r="E59" i="6"/>
  <c r="E33" i="5"/>
  <c r="E66" i="4"/>
  <c r="E32" i="5"/>
  <c r="E58" i="6"/>
  <c r="B52" i="6"/>
  <c r="F28" i="7" l="1"/>
  <c r="E78" i="2"/>
  <c r="E71" i="4"/>
  <c r="B60" i="4" l="1"/>
  <c r="B51" i="3" l="1"/>
  <c r="M6" i="1" l="1"/>
  <c r="N6" i="1" s="1"/>
  <c r="O6" i="1" s="1"/>
  <c r="M20" i="1"/>
  <c r="N20" i="1" s="1"/>
  <c r="O20" i="1" s="1"/>
  <c r="M33" i="1"/>
  <c r="N33" i="1" s="1"/>
  <c r="O33" i="1" s="1"/>
  <c r="M34" i="1"/>
  <c r="N34" i="1" s="1"/>
  <c r="O34" i="1" s="1"/>
  <c r="M35" i="1"/>
  <c r="N35" i="1" s="1"/>
  <c r="O35" i="1" s="1"/>
  <c r="B42" i="1"/>
  <c r="P66" i="1" l="1"/>
  <c r="M76" i="1" s="1"/>
  <c r="P65" i="1"/>
  <c r="M75" i="1" s="1"/>
  <c r="P64" i="1"/>
  <c r="M74" i="1" s="1"/>
  <c r="P63" i="1"/>
  <c r="M73" i="1" s="1"/>
  <c r="P62" i="1"/>
  <c r="M72" i="1" s="1"/>
  <c r="H28" i="1"/>
  <c r="M28" i="1" s="1"/>
  <c r="H42" i="1" l="1"/>
  <c r="M42" i="1" s="1"/>
  <c r="G42" i="1"/>
  <c r="G28" i="1"/>
  <c r="N28" i="1" s="1"/>
  <c r="O28" i="1" s="1"/>
  <c r="H41" i="1"/>
  <c r="M41" i="1" s="1"/>
  <c r="G41" i="1"/>
  <c r="H40" i="1"/>
  <c r="G40" i="1"/>
  <c r="F32" i="1"/>
  <c r="N32" i="1" s="1"/>
  <c r="O32" i="1" s="1"/>
  <c r="H32" i="1"/>
  <c r="M32" i="1" s="1"/>
  <c r="H31" i="1"/>
  <c r="M31" i="1" s="1"/>
  <c r="G31" i="1"/>
  <c r="I33" i="1"/>
  <c r="K33" i="1" s="1"/>
  <c r="P33" i="1" s="1"/>
  <c r="Q33" i="1" s="1"/>
  <c r="I34" i="1"/>
  <c r="K34" i="1" s="1"/>
  <c r="P34" i="1" s="1"/>
  <c r="Q34" i="1" s="1"/>
  <c r="I35" i="1"/>
  <c r="K35" i="1" s="1"/>
  <c r="P35" i="1" s="1"/>
  <c r="Q35" i="1" s="1"/>
  <c r="H30" i="1"/>
  <c r="M30" i="1" s="1"/>
  <c r="F30" i="1"/>
  <c r="H29" i="1"/>
  <c r="M29" i="1" s="1"/>
  <c r="G29" i="1"/>
  <c r="F8" i="1"/>
  <c r="H27" i="1"/>
  <c r="M27" i="1" s="1"/>
  <c r="F27" i="1"/>
  <c r="H26" i="1"/>
  <c r="F26" i="1"/>
  <c r="H25" i="1"/>
  <c r="M25" i="1" s="1"/>
  <c r="G25" i="1"/>
  <c r="S35" i="1" l="1"/>
  <c r="R35" i="1"/>
  <c r="T35" i="1"/>
  <c r="U35" i="1"/>
  <c r="S34" i="1"/>
  <c r="T34" i="1"/>
  <c r="U34" i="1"/>
  <c r="R34" i="1"/>
  <c r="S33" i="1"/>
  <c r="U33" i="1"/>
  <c r="R33" i="1"/>
  <c r="T33" i="1"/>
  <c r="N25" i="1"/>
  <c r="O25" i="1" s="1"/>
  <c r="N41" i="1"/>
  <c r="O41" i="1" s="1"/>
  <c r="N31" i="1"/>
  <c r="O31" i="1" s="1"/>
  <c r="F51" i="1"/>
  <c r="F52" i="1"/>
  <c r="F50" i="1"/>
  <c r="N30" i="1"/>
  <c r="O30" i="1" s="1"/>
  <c r="G51" i="1"/>
  <c r="G52" i="1"/>
  <c r="G50" i="1"/>
  <c r="M26" i="1"/>
  <c r="N26" i="1" s="1"/>
  <c r="O26" i="1" s="1"/>
  <c r="I40" i="1"/>
  <c r="K40" i="1" s="1"/>
  <c r="M40" i="1"/>
  <c r="N40" i="1" s="1"/>
  <c r="O40" i="1" s="1"/>
  <c r="N27" i="1"/>
  <c r="O27" i="1" s="1"/>
  <c r="N29" i="1"/>
  <c r="O29" i="1" s="1"/>
  <c r="N42" i="1"/>
  <c r="O42" i="1" s="1"/>
  <c r="I42" i="1"/>
  <c r="K42" i="1" s="1"/>
  <c r="I41" i="1"/>
  <c r="K41" i="1" s="1"/>
  <c r="P41" i="1" s="1"/>
  <c r="Q41" i="1" s="1"/>
  <c r="H24" i="1"/>
  <c r="M24" i="1" s="1"/>
  <c r="F24" i="1"/>
  <c r="H23" i="1"/>
  <c r="M23" i="1" s="1"/>
  <c r="N23" i="1" s="1"/>
  <c r="O23" i="1" s="1"/>
  <c r="H22" i="1"/>
  <c r="M22" i="1" s="1"/>
  <c r="N22" i="1" s="1"/>
  <c r="O22" i="1" s="1"/>
  <c r="H21" i="1"/>
  <c r="M21" i="1" s="1"/>
  <c r="G21" i="1"/>
  <c r="H19" i="1"/>
  <c r="M19" i="1" s="1"/>
  <c r="G19" i="1"/>
  <c r="H18" i="1"/>
  <c r="M18" i="1" s="1"/>
  <c r="G18" i="1"/>
  <c r="H17" i="1"/>
  <c r="M17" i="1" s="1"/>
  <c r="G17" i="1"/>
  <c r="S41" i="1" l="1"/>
  <c r="U41" i="1"/>
  <c r="T41" i="1"/>
  <c r="R41" i="1"/>
  <c r="N18" i="1"/>
  <c r="O18" i="1" s="1"/>
  <c r="N21" i="1"/>
  <c r="O21" i="1" s="1"/>
  <c r="P40" i="1"/>
  <c r="Q40" i="1" s="1"/>
  <c r="P42" i="1"/>
  <c r="Q42" i="1" s="1"/>
  <c r="I52" i="1"/>
  <c r="J52" i="1" s="1"/>
  <c r="H52" i="1"/>
  <c r="N17" i="1"/>
  <c r="O17" i="1" s="1"/>
  <c r="N19" i="1"/>
  <c r="O19" i="1" s="1"/>
  <c r="I51" i="1"/>
  <c r="J51" i="1" s="1"/>
  <c r="H51" i="1"/>
  <c r="H50" i="1"/>
  <c r="I50" i="1"/>
  <c r="J50" i="1" s="1"/>
  <c r="N24" i="1"/>
  <c r="O24" i="1" s="1"/>
  <c r="H16" i="1"/>
  <c r="M16" i="1" s="1"/>
  <c r="F16" i="1"/>
  <c r="H15" i="1"/>
  <c r="M15" i="1" s="1"/>
  <c r="G15" i="1"/>
  <c r="H14" i="1"/>
  <c r="M14" i="1" s="1"/>
  <c r="G14" i="1"/>
  <c r="H13" i="1"/>
  <c r="M13" i="1" s="1"/>
  <c r="F13" i="1"/>
  <c r="H12" i="1"/>
  <c r="M12" i="1" s="1"/>
  <c r="G12" i="1"/>
  <c r="H11" i="1"/>
  <c r="M11" i="1" s="1"/>
  <c r="G11" i="1"/>
  <c r="H10" i="1"/>
  <c r="M10" i="1" s="1"/>
  <c r="N10" i="1" s="1"/>
  <c r="O10" i="1" s="1"/>
  <c r="I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F9" i="1"/>
  <c r="G10" i="1"/>
  <c r="H9" i="1"/>
  <c r="S40" i="1" l="1"/>
  <c r="T40" i="1"/>
  <c r="R40" i="1"/>
  <c r="U40" i="1"/>
  <c r="S42" i="1"/>
  <c r="T42" i="1"/>
  <c r="U42" i="1"/>
  <c r="R42" i="1"/>
  <c r="N15" i="1"/>
  <c r="O15" i="1" s="1"/>
  <c r="M9" i="1"/>
  <c r="N9" i="1" s="1"/>
  <c r="O9" i="1" s="1"/>
  <c r="G57" i="1"/>
  <c r="I57" i="1" s="1"/>
  <c r="G59" i="1"/>
  <c r="I59" i="1" s="1"/>
  <c r="G58" i="1"/>
  <c r="I58" i="1" s="1"/>
  <c r="N12" i="1"/>
  <c r="O12" i="1" s="1"/>
  <c r="N14" i="1"/>
  <c r="O14" i="1" s="1"/>
  <c r="N11" i="1"/>
  <c r="O11" i="1" s="1"/>
  <c r="N16" i="1"/>
  <c r="O16" i="1" s="1"/>
  <c r="F58" i="1"/>
  <c r="F59" i="1"/>
  <c r="F57" i="1"/>
  <c r="N13" i="1"/>
  <c r="O13" i="1" s="1"/>
  <c r="I9" i="1"/>
  <c r="I12" i="1"/>
  <c r="K12" i="1" s="1"/>
  <c r="I16" i="1"/>
  <c r="I10" i="1"/>
  <c r="K10" i="1" s="1"/>
  <c r="P10" i="1" s="1"/>
  <c r="Q10" i="1" s="1"/>
  <c r="I13" i="1"/>
  <c r="K13" i="1" s="1"/>
  <c r="I15" i="1"/>
  <c r="K15" i="1" s="1"/>
  <c r="I14" i="1"/>
  <c r="K14" i="1" s="1"/>
  <c r="I11" i="1"/>
  <c r="K11" i="1" s="1"/>
  <c r="H8" i="1"/>
  <c r="K6" i="1"/>
  <c r="P6" i="1" s="1"/>
  <c r="Q6" i="1" s="1"/>
  <c r="K16" i="1"/>
  <c r="K17" i="1"/>
  <c r="P17" i="1" s="1"/>
  <c r="Q17" i="1" s="1"/>
  <c r="K18" i="1"/>
  <c r="P18" i="1" s="1"/>
  <c r="Q18" i="1" s="1"/>
  <c r="K19" i="1"/>
  <c r="P19" i="1" s="1"/>
  <c r="Q19" i="1" s="1"/>
  <c r="K20" i="1"/>
  <c r="P20" i="1" s="1"/>
  <c r="Q20" i="1" s="1"/>
  <c r="K21" i="1"/>
  <c r="P21" i="1" s="1"/>
  <c r="Q21" i="1" s="1"/>
  <c r="K22" i="1"/>
  <c r="K23" i="1"/>
  <c r="P23" i="1" s="1"/>
  <c r="Q23" i="1" s="1"/>
  <c r="K24" i="1"/>
  <c r="P24" i="1" s="1"/>
  <c r="Q24" i="1" s="1"/>
  <c r="K25" i="1"/>
  <c r="P25" i="1" s="1"/>
  <c r="Q25" i="1" s="1"/>
  <c r="K26" i="1"/>
  <c r="P26" i="1" s="1"/>
  <c r="Q26" i="1" s="1"/>
  <c r="K27" i="1"/>
  <c r="P27" i="1" s="1"/>
  <c r="Q27" i="1" s="1"/>
  <c r="K28" i="1"/>
  <c r="P28" i="1" s="1"/>
  <c r="Q28" i="1" s="1"/>
  <c r="K29" i="1"/>
  <c r="P29" i="1" s="1"/>
  <c r="Q29" i="1" s="1"/>
  <c r="K30" i="1"/>
  <c r="P30" i="1" s="1"/>
  <c r="Q30" i="1" s="1"/>
  <c r="K31" i="1"/>
  <c r="P31" i="1" s="1"/>
  <c r="Q31" i="1" s="1"/>
  <c r="K32" i="1"/>
  <c r="P32" i="1" s="1"/>
  <c r="Q32" i="1" s="1"/>
  <c r="H7" i="1"/>
  <c r="M7" i="1" s="1"/>
  <c r="N7" i="1" s="1"/>
  <c r="O7" i="1" s="1"/>
  <c r="K9" i="1"/>
  <c r="H5" i="1"/>
  <c r="M5" i="1" s="1"/>
  <c r="N5" i="1" s="1"/>
  <c r="O5" i="1" s="1"/>
  <c r="G5" i="1"/>
  <c r="H4" i="1"/>
  <c r="P15" i="1" l="1"/>
  <c r="Q15" i="1" s="1"/>
  <c r="S15" i="1" s="1"/>
  <c r="S29" i="1"/>
  <c r="R29" i="1"/>
  <c r="U29" i="1"/>
  <c r="T29" i="1"/>
  <c r="S28" i="1"/>
  <c r="R28" i="1"/>
  <c r="U28" i="1"/>
  <c r="T28" i="1"/>
  <c r="S20" i="1"/>
  <c r="R20" i="1"/>
  <c r="T20" i="1"/>
  <c r="U20" i="1"/>
  <c r="S6" i="1"/>
  <c r="T6" i="1"/>
  <c r="U6" i="1"/>
  <c r="R6" i="1"/>
  <c r="S30" i="1"/>
  <c r="U30" i="1"/>
  <c r="R30" i="1"/>
  <c r="T30" i="1"/>
  <c r="S23" i="1"/>
  <c r="T23" i="1"/>
  <c r="U23" i="1"/>
  <c r="R23" i="1"/>
  <c r="S17" i="1"/>
  <c r="R17" i="1"/>
  <c r="T17" i="1"/>
  <c r="U17" i="1"/>
  <c r="S10" i="1"/>
  <c r="T10" i="1"/>
  <c r="U10" i="1"/>
  <c r="R10" i="1"/>
  <c r="S32" i="1"/>
  <c r="R32" i="1"/>
  <c r="T32" i="1"/>
  <c r="U32" i="1"/>
  <c r="S24" i="1"/>
  <c r="U24" i="1"/>
  <c r="R24" i="1"/>
  <c r="T24" i="1"/>
  <c r="S21" i="1"/>
  <c r="U21" i="1"/>
  <c r="R21" i="1"/>
  <c r="T21" i="1"/>
  <c r="S27" i="1"/>
  <c r="U27" i="1"/>
  <c r="T27" i="1"/>
  <c r="R27" i="1"/>
  <c r="R15" i="1"/>
  <c r="S18" i="1"/>
  <c r="U18" i="1"/>
  <c r="T18" i="1"/>
  <c r="R18" i="1"/>
  <c r="P13" i="1"/>
  <c r="Q13" i="1" s="1"/>
  <c r="S31" i="1"/>
  <c r="U31" i="1"/>
  <c r="T31" i="1"/>
  <c r="R31" i="1"/>
  <c r="S19" i="1"/>
  <c r="R19" i="1"/>
  <c r="T19" i="1"/>
  <c r="U19" i="1"/>
  <c r="S25" i="1"/>
  <c r="U25" i="1"/>
  <c r="R25" i="1"/>
  <c r="T25" i="1"/>
  <c r="S26" i="1"/>
  <c r="U26" i="1"/>
  <c r="R26" i="1"/>
  <c r="T26" i="1"/>
  <c r="P16" i="1"/>
  <c r="Q16" i="1" s="1"/>
  <c r="P9" i="1"/>
  <c r="Q9" i="1" s="1"/>
  <c r="P12" i="1"/>
  <c r="Q12" i="1" s="1"/>
  <c r="P14" i="1"/>
  <c r="Q14" i="1" s="1"/>
  <c r="P11" i="1"/>
  <c r="Q11" i="1" s="1"/>
  <c r="H59" i="1"/>
  <c r="J59" i="1"/>
  <c r="J58" i="1"/>
  <c r="H58" i="1"/>
  <c r="J57" i="1"/>
  <c r="H57" i="1"/>
  <c r="L22" i="1"/>
  <c r="P22" i="1"/>
  <c r="Q22" i="1" s="1"/>
  <c r="I8" i="1"/>
  <c r="K8" i="1" s="1"/>
  <c r="M8" i="1"/>
  <c r="N8" i="1" s="1"/>
  <c r="O8" i="1" s="1"/>
  <c r="I4" i="1"/>
  <c r="K4" i="1" s="1"/>
  <c r="L4" i="1" s="1"/>
  <c r="M4" i="1"/>
  <c r="N4" i="1" s="1"/>
  <c r="O4" i="1" s="1"/>
  <c r="I5" i="1"/>
  <c r="K5" i="1" s="1"/>
  <c r="P5" i="1" s="1"/>
  <c r="Q5" i="1" s="1"/>
  <c r="I7" i="1"/>
  <c r="K7" i="1" s="1"/>
  <c r="P7" i="1" s="1"/>
  <c r="Q7" i="1" s="1"/>
  <c r="U15" i="1" l="1"/>
  <c r="T15" i="1"/>
  <c r="S5" i="1"/>
  <c r="U5" i="1"/>
  <c r="T5" i="1"/>
  <c r="R5" i="1"/>
  <c r="S9" i="1"/>
  <c r="U9" i="1"/>
  <c r="R9" i="1"/>
  <c r="T9" i="1"/>
  <c r="S12" i="1"/>
  <c r="T12" i="1"/>
  <c r="R12" i="1"/>
  <c r="U12" i="1"/>
  <c r="S22" i="1"/>
  <c r="U22" i="1"/>
  <c r="R22" i="1"/>
  <c r="T22" i="1"/>
  <c r="S11" i="1"/>
  <c r="R11" i="1"/>
  <c r="U11" i="1"/>
  <c r="T11" i="1"/>
  <c r="S16" i="1"/>
  <c r="T16" i="1"/>
  <c r="U16" i="1"/>
  <c r="R16" i="1"/>
  <c r="S7" i="1"/>
  <c r="R7" i="1"/>
  <c r="T7" i="1"/>
  <c r="U7" i="1"/>
  <c r="S14" i="1"/>
  <c r="U14" i="1"/>
  <c r="T14" i="1"/>
  <c r="R14" i="1"/>
  <c r="S13" i="1"/>
  <c r="U13" i="1"/>
  <c r="T13" i="1"/>
  <c r="R13" i="1"/>
  <c r="P8" i="1"/>
  <c r="Q8" i="1" s="1"/>
  <c r="P4" i="1"/>
  <c r="Q4" i="1" s="1"/>
  <c r="S4" i="1" s="1"/>
  <c r="S8" i="1" l="1"/>
  <c r="R8" i="1"/>
  <c r="U8" i="1"/>
  <c r="T8" i="1"/>
</calcChain>
</file>

<file path=xl/sharedStrings.xml><?xml version="1.0" encoding="utf-8"?>
<sst xmlns="http://schemas.openxmlformats.org/spreadsheetml/2006/main" count="1130" uniqueCount="640">
  <si>
    <t>Pierre</t>
  </si>
  <si>
    <t>Bois de pin</t>
  </si>
  <si>
    <t>Pour 1000 unités en PO</t>
  </si>
  <si>
    <t>Planche de bois de pin</t>
  </si>
  <si>
    <t>Poisson</t>
  </si>
  <si>
    <t>Breuvage</t>
  </si>
  <si>
    <t>Bronze</t>
  </si>
  <si>
    <t>Charbon</t>
  </si>
  <si>
    <t>Eau</t>
  </si>
  <si>
    <t>Farine</t>
  </si>
  <si>
    <t>Minerai de cuivre</t>
  </si>
  <si>
    <t>Pain</t>
  </si>
  <si>
    <t>Epée de cuivre</t>
  </si>
  <si>
    <t>Acier</t>
  </si>
  <si>
    <t>Bois de feuillu</t>
  </si>
  <si>
    <t>Cheval</t>
  </si>
  <si>
    <t>Fer</t>
  </si>
  <si>
    <t>Marbre</t>
  </si>
  <si>
    <t>Minerai d'or</t>
  </si>
  <si>
    <t>Minerai de fer</t>
  </si>
  <si>
    <t>Or</t>
  </si>
  <si>
    <t>Viande</t>
  </si>
  <si>
    <t>Epée d'acier</t>
  </si>
  <si>
    <t>Arc</t>
  </si>
  <si>
    <t>Céréale</t>
  </si>
  <si>
    <t>Outil</t>
  </si>
  <si>
    <t>Arc long</t>
  </si>
  <si>
    <t>Planche de feuillu</t>
  </si>
  <si>
    <t>Saucisse</t>
  </si>
  <si>
    <t>Epée de fer</t>
  </si>
  <si>
    <t>Batiments</t>
  </si>
  <si>
    <t>coût en PO</t>
  </si>
  <si>
    <t>gain en PO</t>
  </si>
  <si>
    <t>cycle</t>
  </si>
  <si>
    <t>Scierie de bois de pin</t>
  </si>
  <si>
    <t>Différentiel</t>
  </si>
  <si>
    <t>Forestier de bois de pin</t>
  </si>
  <si>
    <t>Rentabilité à l'heure</t>
  </si>
  <si>
    <t>Pêcherie</t>
  </si>
  <si>
    <t>Mine de cuivre</t>
  </si>
  <si>
    <t>Détruite</t>
  </si>
  <si>
    <t>Coût de construction</t>
  </si>
  <si>
    <t>Cokerie</t>
  </si>
  <si>
    <t>Fonderie de cuivre</t>
  </si>
  <si>
    <t>Atelier d'outilleur</t>
  </si>
  <si>
    <t>Ferme</t>
  </si>
  <si>
    <t>Forge d'armement de bronze</t>
  </si>
  <si>
    <t>Brasserie</t>
  </si>
  <si>
    <t>Puits</t>
  </si>
  <si>
    <t>Boulangerie</t>
  </si>
  <si>
    <t>Moulin</t>
  </si>
  <si>
    <t>Fabrican d'arcs</t>
  </si>
  <si>
    <t>Forestier de bois de feuillu</t>
  </si>
  <si>
    <t>Bucheron de bois de pin</t>
  </si>
  <si>
    <t>Scierie de bois de feuillu</t>
  </si>
  <si>
    <t>Bucheron de bois de feuillu</t>
  </si>
  <si>
    <t>Carrière de pierre</t>
  </si>
  <si>
    <t>Carriere de marbre</t>
  </si>
  <si>
    <t>Puit profond</t>
  </si>
  <si>
    <t>Fonderie de fer</t>
  </si>
  <si>
    <t>Ferme II</t>
  </si>
  <si>
    <t>Forge d'armement de fer</t>
  </si>
  <si>
    <t>Boucherie</t>
  </si>
  <si>
    <t>Cabane de chasseur</t>
  </si>
  <si>
    <t>Ecurie</t>
  </si>
  <si>
    <t>Mine de charbon</t>
  </si>
  <si>
    <t>Mine d'or</t>
  </si>
  <si>
    <t>Atelier de monnayage</t>
  </si>
  <si>
    <t>Fonderie d'or</t>
  </si>
  <si>
    <t>Fabricant d'arcs longs</t>
  </si>
  <si>
    <t>Forge d'armement d'acier</t>
  </si>
  <si>
    <t>Fonderie d'acier</t>
  </si>
  <si>
    <t>Tata</t>
  </si>
  <si>
    <t>effet tata</t>
  </si>
  <si>
    <t>niveau 1 :</t>
  </si>
  <si>
    <t>niveau 2 :</t>
  </si>
  <si>
    <t>niveau 3 :</t>
  </si>
  <si>
    <t xml:space="preserve">Mine de fer </t>
  </si>
  <si>
    <t>Mine de fer : best lvl 2 non boostée et lvl 3 boostée</t>
  </si>
  <si>
    <t>Mine de cuivre : best lvl 3</t>
  </si>
  <si>
    <t>Aventure A cheval</t>
  </si>
  <si>
    <t>Camp 19 - Attaque simple</t>
  </si>
  <si>
    <t>Camp 10 - Attaque simple</t>
  </si>
  <si>
    <t>Pertes environ 46 R</t>
  </si>
  <si>
    <t>Pertes environ 44 R</t>
  </si>
  <si>
    <t>Pertes environ 40 R</t>
  </si>
  <si>
    <t>Commencer l'aventure en déplacement les armées dans la landzone sud au lieu de la landzone nord d'arrivée</t>
  </si>
  <si>
    <t>Camp 20 - Attaque avec une diversion courte (1R) sur camp 18 - bien positionner ses troupes</t>
  </si>
  <si>
    <t>Camp 16 - Attaque simple (bien positionner le général à gauche de l'arbre du camp 10)</t>
  </si>
  <si>
    <t>Diversion avec 1 R</t>
  </si>
  <si>
    <t>Camp 5 - Attaque avec une diversion courte (1R) sur camp 3 - très compliqué de réaliser la diversion</t>
  </si>
  <si>
    <t>Pertes environ 1 R + 79 R</t>
  </si>
  <si>
    <t>Camp 4 - Attaque simple</t>
  </si>
  <si>
    <t>Pertes environ 33 R</t>
  </si>
  <si>
    <t>Camp 8 - Attaque avec une diversion courte (1R) sur camp 7</t>
  </si>
  <si>
    <t>Pertes environ 1 R + 100 R</t>
  </si>
  <si>
    <t>Camp 3 (si on arrive pas à faire la diversion)</t>
  </si>
  <si>
    <t>Pertes environ 27 R</t>
  </si>
  <si>
    <t>(Diversion avec 1 R)</t>
  </si>
  <si>
    <t>Pertes totales :</t>
  </si>
  <si>
    <t>Recrues</t>
  </si>
  <si>
    <t>Archers courts</t>
  </si>
  <si>
    <t>Pertes : 0</t>
  </si>
  <si>
    <t>Camp 12 - Attaque simple</t>
  </si>
  <si>
    <t>Pertes environ 51 R</t>
  </si>
  <si>
    <t>1ere vague : 132 R</t>
  </si>
  <si>
    <t>Camp 15 - Attaque en 2 vagues</t>
  </si>
  <si>
    <t>Camp 13 - Attaque en 2 vagues</t>
  </si>
  <si>
    <t>1ere vague : 31 R</t>
  </si>
  <si>
    <t xml:space="preserve">2eme vague 170 C </t>
  </si>
  <si>
    <t>Commencer l’aventure en déplaçant les troupes vers le haut proche du palais noir</t>
  </si>
  <si>
    <t>Camp 5 - block long</t>
  </si>
  <si>
    <t>Camp 6 - Attaque simple</t>
  </si>
  <si>
    <t>a tester 4 R + 15 S</t>
  </si>
  <si>
    <t>Camp 7 - attaque simple</t>
  </si>
  <si>
    <t>Pertes environ 4 R</t>
  </si>
  <si>
    <t>Pertes environ 31 R</t>
  </si>
  <si>
    <t>Pertes 31 R</t>
  </si>
  <si>
    <t>Camp 8 - attaque simple</t>
  </si>
  <si>
    <t>Camp 9</t>
  </si>
  <si>
    <t>possibilité de faire des blocks sur les camps 7/8/9</t>
  </si>
  <si>
    <t>Pertes environ 26 R</t>
  </si>
  <si>
    <t xml:space="preserve">Camp 10 </t>
  </si>
  <si>
    <t>Cavaliers</t>
  </si>
  <si>
    <t>Camp 11 - attaque simple</t>
  </si>
  <si>
    <t>Pertes environ 15 R</t>
  </si>
  <si>
    <t>Camp 1 - attaque simple</t>
  </si>
  <si>
    <t>200 C</t>
  </si>
  <si>
    <t>Camp 2 - attaque simple</t>
  </si>
  <si>
    <t>Camp 3 - attaque simple</t>
  </si>
  <si>
    <t>Pertes environ 10 R</t>
  </si>
  <si>
    <t>Camp 4 - attaque simple</t>
  </si>
  <si>
    <t>Pertes environ 9 R</t>
  </si>
  <si>
    <t>Camp 5 - attaque simple</t>
  </si>
  <si>
    <t>200 R</t>
  </si>
  <si>
    <t>Camp 6 - attaque simple</t>
  </si>
  <si>
    <t>Camp 9 - attaque simple</t>
  </si>
  <si>
    <t>Camp 10 - 2 vagues</t>
  </si>
  <si>
    <t>15 R + 125 AC</t>
  </si>
  <si>
    <t>aventure La sorciere des marais</t>
  </si>
  <si>
    <t>Aventure Les prêtres du mal</t>
  </si>
  <si>
    <t>Aventure Le crâne perdu</t>
  </si>
  <si>
    <t>13 R + 1 S + 186 C</t>
  </si>
  <si>
    <t>Pertes environ 13 R</t>
  </si>
  <si>
    <t>Miliciens</t>
  </si>
  <si>
    <t>72 R + 128 S</t>
  </si>
  <si>
    <t>Pertes environ 68 R</t>
  </si>
  <si>
    <t>Aventure Soleil tropical</t>
  </si>
  <si>
    <t>20 R + 60 S</t>
  </si>
  <si>
    <t>Pertes environ 20 R</t>
  </si>
  <si>
    <t>Pertes environ 67 R</t>
  </si>
  <si>
    <t>26 R + 80 S</t>
  </si>
  <si>
    <t>Pertes environ 24 R</t>
  </si>
  <si>
    <t>25 R</t>
  </si>
  <si>
    <t>Pertes environ 25 R</t>
  </si>
  <si>
    <t>Pertes environ 37 R</t>
  </si>
  <si>
    <t>43 R + 1 S + 116 C + 40 A</t>
  </si>
  <si>
    <t>Pertes environ 38 R</t>
  </si>
  <si>
    <t>36 R + 100 S</t>
  </si>
  <si>
    <t>35 R + 120 S</t>
  </si>
  <si>
    <t>Pertes environ 32 R</t>
  </si>
  <si>
    <t>Camp 5 - 2 vagues</t>
  </si>
  <si>
    <t>Xp</t>
  </si>
  <si>
    <t>Granite 1</t>
  </si>
  <si>
    <t>Granite 2</t>
  </si>
  <si>
    <t>Po</t>
  </si>
  <si>
    <t>Butin :</t>
  </si>
  <si>
    <t>Granite M</t>
  </si>
  <si>
    <t>Butin (x2 pour le butin) :</t>
  </si>
  <si>
    <t>Dépôt or</t>
  </si>
  <si>
    <t>300 +</t>
  </si>
  <si>
    <t>Xp par recrue</t>
  </si>
  <si>
    <t>Granite M / Recrue</t>
  </si>
  <si>
    <t>Xp / Recrue</t>
  </si>
  <si>
    <t>" De vieux amis"</t>
  </si>
  <si>
    <t>Les chevaliers noirs</t>
  </si>
  <si>
    <t>Granite 3</t>
  </si>
  <si>
    <t>500 +</t>
  </si>
  <si>
    <t>PO</t>
  </si>
  <si>
    <t>Château noir</t>
  </si>
  <si>
    <t>Taueau rugissant</t>
  </si>
  <si>
    <t>Coût en MDC</t>
  </si>
  <si>
    <t>Granite M / MDC</t>
  </si>
  <si>
    <t>PO M</t>
  </si>
  <si>
    <t>PO M / MDC</t>
  </si>
  <si>
    <t>Total M / MDC</t>
  </si>
  <si>
    <t>(coef 1,8 Granite)</t>
  </si>
  <si>
    <t>Les nordiques</t>
  </si>
  <si>
    <t>Victor le vicieux</t>
  </si>
  <si>
    <t>PO M / Recrue</t>
  </si>
  <si>
    <t>Total M / Recrue</t>
  </si>
  <si>
    <t>Patte de lapin bonus =</t>
  </si>
  <si>
    <t>Amuse gueulle b =</t>
  </si>
  <si>
    <t>pate piero b =</t>
  </si>
  <si>
    <t>boisson b =</t>
  </si>
  <si>
    <t>canard b =</t>
  </si>
  <si>
    <t>Coût en PO</t>
  </si>
  <si>
    <t>Les prêtres du mal</t>
  </si>
  <si>
    <t>Minerai or</t>
  </si>
  <si>
    <t>Voler aux riches</t>
  </si>
  <si>
    <t>prix d'une mine d'or</t>
  </si>
  <si>
    <t>donne 300 minerai soit 600 sous tata</t>
  </si>
  <si>
    <t>Aventure Île des pirates</t>
  </si>
  <si>
    <t>Camp W1 - attaque simple</t>
  </si>
  <si>
    <t>Pertes environ 17 R</t>
  </si>
  <si>
    <t>Aventure Voler aux riches</t>
  </si>
  <si>
    <t>(ouest) Camp 3 - attaque simple (bien se placer en dessous des rochers après avoir vidé le centre)</t>
  </si>
  <si>
    <t>(est) Camp 3 - attaque simple</t>
  </si>
  <si>
    <t>Pertes environ 132 R + 11 R</t>
  </si>
  <si>
    <t>Pertes environ 1 R + 122 AC</t>
  </si>
  <si>
    <t>MAJ ARBALETES</t>
  </si>
  <si>
    <t>Pertes environ 72 R + 12 C</t>
  </si>
  <si>
    <t>43 R + 157 S</t>
  </si>
  <si>
    <t>pannier exo b =</t>
  </si>
  <si>
    <t>Il faut enlever le coût des Tatas</t>
  </si>
  <si>
    <t>Sur une base de 13 minutes pour extraire un minerai, en 9H on extrait 41 minerais d'or. Soit 8 tatas pour la mine.</t>
  </si>
  <si>
    <t>Soit une perte de 24 PO</t>
  </si>
  <si>
    <t>600 se vend 325 * 0,6 = 195 PO</t>
  </si>
  <si>
    <t>Une mine rapporte donc 195 - 132 - 24 = 39 PO (+ gain de la destruction de la mine avec récupération de 25%)</t>
  </si>
  <si>
    <t>Rentabilité des batiments or avec un achat de 1000 minerais d'or pour 350 po.</t>
  </si>
  <si>
    <t>On transforme 1000 minerais d'or en 500 po sous double tata.</t>
  </si>
  <si>
    <t>Sur une base de 13 minutes pour le premier batiment or, on obtient un temps necessaire de 13 000 minutes soit 217 heures</t>
  </si>
  <si>
    <t>Soit au lvl 1 : 24 tatas x 2 = 48 tatas pour un coût de 146 PO</t>
  </si>
  <si>
    <t>Soit au lvl 3 : 8 tatas x 2 = 16 tatas pour un coût de 49 PO</t>
  </si>
  <si>
    <t>Soit au lvl 4 : 6 tatas x 2 = 12 tatas pour un coût de 37 PO</t>
  </si>
  <si>
    <t>Soit au lvl 5 : 5 tatas x 2 = 10 tatas pour un coût de 30 PO</t>
  </si>
  <si>
    <t>Il faut enlever le coût du charbon. 4000 Charbons pour 1000 minerais d'or transformés en 500 PO, soit :</t>
  </si>
  <si>
    <t>Soit au lvl 2 : 12 tatas x 2 = 24 tatas pour un coût de 73 PO</t>
  </si>
  <si>
    <t>Gain pour la transformation de 1000 minerais d'or en PO</t>
  </si>
  <si>
    <t>Lvl 1</t>
  </si>
  <si>
    <t>Lvl 2</t>
  </si>
  <si>
    <t>Lvl 3</t>
  </si>
  <si>
    <t>Lvl 4</t>
  </si>
  <si>
    <t>Lvl 5</t>
  </si>
  <si>
    <t>ERROR ! Vérifier qu'il faut pas 2 fois moins de temps pour transformer 1000 minerais car on les mange 2 par 2 ou 4 par 4</t>
  </si>
  <si>
    <t>Sandwich</t>
  </si>
  <si>
    <t>Camp W8 - attaque simple</t>
  </si>
  <si>
    <t>Camp 12 - attaque simple</t>
  </si>
  <si>
    <t>On cible ce camp et on est intercepté par 2 autres camps normalement.</t>
  </si>
  <si>
    <t>(sud) Camp W7 - attaque simple</t>
  </si>
  <si>
    <t>Pertes environ 14 R</t>
  </si>
  <si>
    <t>(sud) Camps 13/14/15/16 - attaque simple des tours de guet</t>
  </si>
  <si>
    <t>100 C par tour</t>
  </si>
  <si>
    <t>Pertes environ 23 R</t>
  </si>
  <si>
    <t>(nord) Camp W7 - attaque simple</t>
  </si>
  <si>
    <t>(nord) Camps 9/10 (est) - 9/10 (ouest) - attaque simple des tours de guet</t>
  </si>
  <si>
    <t>(nord) Camp 11 ouest - attaque simple</t>
  </si>
  <si>
    <t>Se placer completement a gauche pour ne pas etre intercepté par les loups</t>
  </si>
  <si>
    <t>Se placer completement a droite pour ne pas etre intercepté par les loups (si la map ne le permet pas, casser les loups avant)</t>
  </si>
  <si>
    <t>122 AC + 78 A</t>
  </si>
  <si>
    <t>lvl 2</t>
  </si>
  <si>
    <t>lvl 3</t>
  </si>
  <si>
    <t>lvl 4</t>
  </si>
  <si>
    <t>lvl 5</t>
  </si>
  <si>
    <t>9 H</t>
  </si>
  <si>
    <t>MAJ SE</t>
  </si>
  <si>
    <t>44 R + 156 SE</t>
  </si>
  <si>
    <t>52 R + 148 SE</t>
  </si>
  <si>
    <t>15 R + 1SE + 184 C</t>
  </si>
  <si>
    <t>55 R + 145 SE</t>
  </si>
  <si>
    <t>2eme vague : 23 R + 1 SE + 176 A</t>
  </si>
  <si>
    <t>38 R + 162 SE</t>
  </si>
  <si>
    <t>4 R + 1 SE + 195 C</t>
  </si>
  <si>
    <t>32 R + 168 SE</t>
  </si>
  <si>
    <t>27 R + 173 SE</t>
  </si>
  <si>
    <t>83 R + 1 SE + 66 C + 50 A</t>
  </si>
  <si>
    <t>46 R + 154 SE (passe aussi sans perte supplémentaire en 150 R + 50 S)</t>
  </si>
  <si>
    <t>47 R + 153 SE (passe aussi sans perte supplémentaire avec 150 R + 50 S)</t>
  </si>
  <si>
    <t>42 R + 158 SE (passe aussi sans perte supplémentaire avec 125 R + 75 S)</t>
  </si>
  <si>
    <t>Aventure Victor le vicieux</t>
  </si>
  <si>
    <t>Golem</t>
  </si>
  <si>
    <t>Lvl 6</t>
  </si>
  <si>
    <t>Lvl 7</t>
  </si>
  <si>
    <t>Lvl 8</t>
  </si>
  <si>
    <t>Lvl 9</t>
  </si>
  <si>
    <t>Lvl 10</t>
  </si>
  <si>
    <t>marbre</t>
  </si>
  <si>
    <t>céréales</t>
  </si>
  <si>
    <t>eau</t>
  </si>
  <si>
    <t>T lvl 4</t>
  </si>
  <si>
    <t>Pertes environ 29 R</t>
  </si>
  <si>
    <t>Camp 10 - Evité</t>
  </si>
  <si>
    <t>Camp  11 - attaque simple</t>
  </si>
  <si>
    <t>Camp 12 - Evité</t>
  </si>
  <si>
    <t>Camp  13 - attaque simple</t>
  </si>
  <si>
    <t>Camp 14 - Evité</t>
  </si>
  <si>
    <t>Camp  15 - attaque simple</t>
  </si>
  <si>
    <t>Camp 16 - Evité</t>
  </si>
  <si>
    <t>Camp 17 - Evité</t>
  </si>
  <si>
    <t>Camp 18 - Evité</t>
  </si>
  <si>
    <t>Camp 20 - Evité</t>
  </si>
  <si>
    <t>attention au camp de loups donc il faut attaquer camp 6 puis retraite</t>
  </si>
  <si>
    <t>Chaine de cuivre</t>
  </si>
  <si>
    <t>en 24H</t>
  </si>
  <si>
    <t>tatas *1,75</t>
  </si>
  <si>
    <t>cycle fonderie (6min 40)</t>
  </si>
  <si>
    <t>soit 400 secondes</t>
  </si>
  <si>
    <t>86400 secondes / j</t>
  </si>
  <si>
    <t>soit cycles / j :</t>
  </si>
  <si>
    <t>Nombre niveaux fonderies :</t>
  </si>
  <si>
    <t>Nombre de fonderies lvl 5 :</t>
  </si>
  <si>
    <t>sous tata 1,75 :</t>
  </si>
  <si>
    <t>attention de conserver 2 fois plus d emplacements identiques (24 s ou 40 s)</t>
  </si>
  <si>
    <t>6 mines à 80 stocks</t>
  </si>
  <si>
    <t>(8 fonderies niveau 5)</t>
  </si>
  <si>
    <t>Soit 14 batiments forges armement bronze / outilleur de lvl 5</t>
  </si>
  <si>
    <t>Lvl 1 (life)</t>
  </si>
  <si>
    <t>Lvl 1 (ress)</t>
  </si>
  <si>
    <t>du 20 resources pour 1 bille</t>
  </si>
  <si>
    <t>1 bille pour 100 pv</t>
  </si>
  <si>
    <t>donc 1 ressource pour 5 pv</t>
  </si>
  <si>
    <t>Lvl 2 (life)</t>
  </si>
  <si>
    <t>Lvl 2 (ress)</t>
  </si>
  <si>
    <t>Lvl 3 (life)</t>
  </si>
  <si>
    <t>Lvl 3 (ress)</t>
  </si>
  <si>
    <t>Lvl 4 (life)</t>
  </si>
  <si>
    <t>Lvl 4 (ress)</t>
  </si>
  <si>
    <t>(est) Camp 8 / 7 / 6 - attaque simple</t>
  </si>
  <si>
    <t>(Zone libérée).</t>
  </si>
  <si>
    <t>CENTRE</t>
  </si>
  <si>
    <t>EST</t>
  </si>
  <si>
    <t>OUEST</t>
  </si>
  <si>
    <t>SUD</t>
  </si>
  <si>
    <t>NORD</t>
  </si>
  <si>
    <t>(ouest) Camp 8 / 7 / 6 - attaque simple</t>
  </si>
  <si>
    <t>3/ camp 8 - attaque simple</t>
  </si>
  <si>
    <t>Bien se positionner sud est, en dessous de la fontaine pour casser les loups et pas se faire aggro par d'autres</t>
  </si>
  <si>
    <t>(nord) Camp 11 est - attaque simple</t>
  </si>
  <si>
    <t>Palais blanc</t>
  </si>
  <si>
    <t>28 R + 172 SE (on peut diminuer fortement le nombre de S)</t>
  </si>
  <si>
    <t>78 R + 122 SE</t>
  </si>
  <si>
    <t>35 R + 165 SE (peut se faire avec moins de S et plus de R pour légèrement plus de pertes mais surtout on peut remplacer une partie des S par des AL sans perte supplémentaire)</t>
  </si>
  <si>
    <t>105 R + 95 SE</t>
  </si>
  <si>
    <t>Coût en PO :</t>
  </si>
  <si>
    <t>Settler</t>
  </si>
  <si>
    <t>Recrue</t>
  </si>
  <si>
    <t>Camp 22 - Evité (en se plaçant en haut du coude)</t>
  </si>
  <si>
    <t>Milicien</t>
  </si>
  <si>
    <t>Soldat</t>
  </si>
  <si>
    <t>Soldat Elite</t>
  </si>
  <si>
    <t>Arbalètes</t>
  </si>
  <si>
    <t>Epée de damas</t>
  </si>
  <si>
    <t>Cavalier</t>
  </si>
  <si>
    <t>Archer court</t>
  </si>
  <si>
    <t>Archer long</t>
  </si>
  <si>
    <t>Camp  25 - attaque simple</t>
  </si>
  <si>
    <t>Aventure Les Nordiques</t>
  </si>
  <si>
    <t>Camp  19 - attaque simple</t>
  </si>
  <si>
    <t>Camp  21 - attaque simple</t>
  </si>
  <si>
    <t>40 M + 68 SE + 80 C</t>
  </si>
  <si>
    <t>Lvl 5 (life)</t>
  </si>
  <si>
    <t>Lvl 5 (ress)</t>
  </si>
  <si>
    <t>25 haricots = 5 plants</t>
  </si>
  <si>
    <t>en 10 minutes et 32 sec</t>
  </si>
  <si>
    <t>quadrupler 12H</t>
  </si>
  <si>
    <t>19H47min</t>
  </si>
  <si>
    <t>1187 minutes</t>
  </si>
  <si>
    <t>71220 secondes</t>
  </si>
  <si>
    <t>soit : 112 cycles</t>
  </si>
  <si>
    <t>soit  : 560 plants</t>
  </si>
  <si>
    <t>Camp  24 - Block long</t>
  </si>
  <si>
    <t>Archers longs</t>
  </si>
  <si>
    <t>Aventure Chevaliers noirs</t>
  </si>
  <si>
    <t>Camp 1 - Evité</t>
  </si>
  <si>
    <t>Camp  2 - Block long</t>
  </si>
  <si>
    <t>Camp  3 - Block long</t>
  </si>
  <si>
    <t>44 SE + 156 C</t>
  </si>
  <si>
    <t>7 rounds</t>
  </si>
  <si>
    <t>19 C + 91 SE</t>
  </si>
  <si>
    <t>NORD (1)</t>
  </si>
  <si>
    <t>Pertes environ 1 R</t>
  </si>
  <si>
    <t>SUD (Bleu)</t>
  </si>
  <si>
    <t>EST (Rouge)</t>
  </si>
  <si>
    <t>OUEST (Vert)</t>
  </si>
  <si>
    <t>NORD (2)</t>
  </si>
  <si>
    <t>Camp  10 - attaque simple</t>
  </si>
  <si>
    <t>Camp  12 - attaque simple</t>
  </si>
  <si>
    <t>Pertes environ 114 R</t>
  </si>
  <si>
    <t>2800 pour 2240 en 19H53</t>
  </si>
  <si>
    <t>MAJ 270</t>
  </si>
  <si>
    <t>2 R + 1 SE + 267 C</t>
  </si>
  <si>
    <t>38 R + 1 SE + 231 C</t>
  </si>
  <si>
    <t>Pertes environ 35 R</t>
  </si>
  <si>
    <t>30 R + 1 SE + 239 C</t>
  </si>
  <si>
    <t>78 R + 192 SE</t>
  </si>
  <si>
    <t>Pertes environ 75 R</t>
  </si>
  <si>
    <t>A étudier les divs</t>
  </si>
  <si>
    <t>1 SE + 125 C + 144 A</t>
  </si>
  <si>
    <t>Camp 9 - attaque simple (directement sur le camp 8)</t>
  </si>
  <si>
    <t>1SE + 269 A</t>
  </si>
  <si>
    <t>2 SE + 75 C + 193 A</t>
  </si>
  <si>
    <t>Camp 6 - attaque simple (directement sur le 5)</t>
  </si>
  <si>
    <t>1 SE + 269 A</t>
  </si>
  <si>
    <t>15 M + 1 SE + 62 C + 192 A</t>
  </si>
  <si>
    <t>ou</t>
  </si>
  <si>
    <t>34 R + 1 SE + 58 C + 177 A pour 30 R de pertes</t>
  </si>
  <si>
    <t>Pertes environ 12 M</t>
  </si>
  <si>
    <t>120 C (ajouter 29M + 1 SE + 70 A par sécurité)</t>
  </si>
  <si>
    <t>2 SE + 68 C + 200 A</t>
  </si>
  <si>
    <t>Camp  23 - attaque simple</t>
  </si>
  <si>
    <t>Camp  24 - attaque simple</t>
  </si>
  <si>
    <t>Pertes environ 3 M</t>
  </si>
  <si>
    <t>pour</t>
  </si>
  <si>
    <t>pertes 9 R</t>
  </si>
  <si>
    <t>44 M + 1 SE + 225 A</t>
  </si>
  <si>
    <t>Pertes environ 40M</t>
  </si>
  <si>
    <t>7 M + 1 SE + 262 A</t>
  </si>
  <si>
    <t>15 R + 1 SE + 254 A</t>
  </si>
  <si>
    <t>Camp 29 - attaque simple</t>
  </si>
  <si>
    <t>53 M + 1 SE + 216 A</t>
  </si>
  <si>
    <t>Pertes environ 50 M</t>
  </si>
  <si>
    <t>Camp  28 - attaque simple (directement sur le 29 camp de chef)</t>
  </si>
  <si>
    <t>Troupes à emporter</t>
  </si>
  <si>
    <t>Arbalétriers</t>
  </si>
  <si>
    <t>non obligatoires</t>
  </si>
  <si>
    <t>270 C</t>
  </si>
  <si>
    <t>45 SE</t>
  </si>
  <si>
    <t>6 rounds mini</t>
  </si>
  <si>
    <t>Camp 3 - Attaque simple</t>
  </si>
  <si>
    <t>75 R + 195 SE</t>
  </si>
  <si>
    <t>Camp  4 - Block long</t>
  </si>
  <si>
    <t>1 C + 57 SE</t>
  </si>
  <si>
    <t>Camp  5 - Block long</t>
  </si>
  <si>
    <t>46 SE</t>
  </si>
  <si>
    <t>5 rounds mini</t>
  </si>
  <si>
    <t>(ou 47 R de pertes sur une compo 55 R + 200 SE)</t>
  </si>
  <si>
    <t>(ou 37 R de pertes sur une compo 42 R + 200 SE)</t>
  </si>
  <si>
    <t>(ou 40 R de pertes sur une compo 45 R + 200 SE)</t>
  </si>
  <si>
    <t>13 R + 1 SE + 256 C</t>
  </si>
  <si>
    <t>82 R + 188 SE</t>
  </si>
  <si>
    <t>Pertes environ 66 R</t>
  </si>
  <si>
    <t>16 R + 1 SE + 252 C</t>
  </si>
  <si>
    <t>1/ Attaque du camp 6 avec 24 R + 1 SE + 245 C.</t>
  </si>
  <si>
    <t>2/ Attaque du camp 7 avec 8 R + 1 SE + 261 C.</t>
  </si>
  <si>
    <t>Pertes environ 6 R</t>
  </si>
  <si>
    <t>85 R + 185 SE</t>
  </si>
  <si>
    <t>Pertes environ 61 R</t>
  </si>
  <si>
    <t>24 R + 1 SE + 245 C</t>
  </si>
  <si>
    <t>1/ Attaque du camp 6 avec 9 R + 1 SE + 260 C.</t>
  </si>
  <si>
    <t>Pertes environ 7 R</t>
  </si>
  <si>
    <t>2/ Attaque du camp 7 avec 1 SE + 269 C.</t>
  </si>
  <si>
    <t>108 R + 162 SE</t>
  </si>
  <si>
    <t>Pertes environ 95 R</t>
  </si>
  <si>
    <t>(sud) Camp 17 - attaque simple</t>
  </si>
  <si>
    <t>114 R + 156 SE</t>
  </si>
  <si>
    <t>Pertes environ 102 R</t>
  </si>
  <si>
    <t>106 R + 164 SE</t>
  </si>
  <si>
    <t>125 R + 145 SE</t>
  </si>
  <si>
    <t>Soldats d'élite</t>
  </si>
  <si>
    <t>119 R + 151 E</t>
  </si>
  <si>
    <t>Pertes environ 119 R</t>
  </si>
  <si>
    <t>Camp  16 - attaque simple</t>
  </si>
  <si>
    <t>89 R + 181 SE</t>
  </si>
  <si>
    <t>Pertes environ 81 R</t>
  </si>
  <si>
    <t>ZONE ROUGE</t>
  </si>
  <si>
    <t>34 R + 1 SE + 215 C + 20 A</t>
  </si>
  <si>
    <t>Pertes environ 30 R</t>
  </si>
  <si>
    <t>85 SE + 51 C</t>
  </si>
  <si>
    <t>Aventure Vieux amis</t>
  </si>
  <si>
    <t>Camp  18 - attaque simple</t>
  </si>
  <si>
    <t>25 SE + 126 C</t>
  </si>
  <si>
    <t>6 rounds</t>
  </si>
  <si>
    <t>ZONE CENTRALE</t>
  </si>
  <si>
    <t>Camp  7 - Block long</t>
  </si>
  <si>
    <t>Camp  8 - Block long</t>
  </si>
  <si>
    <t>78 SE + 85 C</t>
  </si>
  <si>
    <t>82 SE + 110 C</t>
  </si>
  <si>
    <t>Camp 9 - 2 vagues</t>
  </si>
  <si>
    <t>59 R</t>
  </si>
  <si>
    <t>73 R + 1 SE + 126 C + 70 A</t>
  </si>
  <si>
    <t>Pertes environ 59 R + 64 R</t>
  </si>
  <si>
    <t>ZONE BLEUE</t>
  </si>
  <si>
    <t>ZONE VERTE</t>
  </si>
  <si>
    <t>MAJ 270 + K</t>
  </si>
  <si>
    <t>Camp  4 - attaque simple</t>
  </si>
  <si>
    <t>122 R + 1 SE + 147 K</t>
  </si>
  <si>
    <t>Pertes environ 111 R</t>
  </si>
  <si>
    <t>Camp  6 -  attaque simple</t>
  </si>
  <si>
    <t>134 R + 136 K</t>
  </si>
  <si>
    <t>Pertes environ 125 R</t>
  </si>
  <si>
    <t>Camp  5 (est) - Block long</t>
  </si>
  <si>
    <t>100 C + 30 SE</t>
  </si>
  <si>
    <t>61 R + 1 SE + 162 C + 46 K</t>
  </si>
  <si>
    <t>Pertes environ 55 R</t>
  </si>
  <si>
    <t>80 R + 1 SE + 116 C + 73 K</t>
  </si>
  <si>
    <t>Pertes environ 73 R</t>
  </si>
  <si>
    <t>51 R + 1 SE + 82 C + 136 A</t>
  </si>
  <si>
    <t>133 R + 137 K</t>
  </si>
  <si>
    <t>Pertes environ 124 R</t>
  </si>
  <si>
    <t>2 R + 53 SE + 144 C</t>
  </si>
  <si>
    <t>Camp  14 - Block long</t>
  </si>
  <si>
    <t>Canons</t>
  </si>
  <si>
    <t>71 R + 1SE + 147 C + 51 K</t>
  </si>
  <si>
    <t>Pertes environ 15 R + 125 AC + 65 R</t>
  </si>
  <si>
    <t>120 R + 2 SE + 148 K</t>
  </si>
  <si>
    <t>Pertes environ 110 R</t>
  </si>
  <si>
    <t>ZONE OUEST</t>
  </si>
  <si>
    <t>Camp  10 - Block long</t>
  </si>
  <si>
    <t>Camp  11 - Block long</t>
  </si>
  <si>
    <t>44 SE + 153 C</t>
  </si>
  <si>
    <t>114 SE</t>
  </si>
  <si>
    <t>116 R + 1 SE + 153 K</t>
  </si>
  <si>
    <t>Pertes environ 105 R</t>
  </si>
  <si>
    <t>W2 - camp de loups</t>
  </si>
  <si>
    <t>6 R + 100 SE</t>
  </si>
  <si>
    <t>Camp 13  Block long</t>
  </si>
  <si>
    <t>Camp 15 - attaque simple</t>
  </si>
  <si>
    <t>8 R + 82 S + 180 K</t>
  </si>
  <si>
    <t>Pertes environ 8 R + 76 S</t>
  </si>
  <si>
    <t>camps 19</t>
  </si>
  <si>
    <t>130 R + 70 C</t>
  </si>
  <si>
    <t>3 rounds</t>
  </si>
  <si>
    <t>53 R + 200 SE</t>
  </si>
  <si>
    <t>76 R + 1 SE + 193 K</t>
  </si>
  <si>
    <t>64 R + 200 SE</t>
  </si>
  <si>
    <t>Pertes environ 58 R</t>
  </si>
  <si>
    <t>Pertes environ 47 R</t>
  </si>
  <si>
    <t>sur scan : lancer le premier GG, attendre 1 case pour lancer le second (19 cases et 19 cases)</t>
  </si>
  <si>
    <t>puis attendre 3 cases du second pour lancer le 3 (31 cases et 29 cases)</t>
  </si>
  <si>
    <t>http://forum.thesettlersonline.fr/threads/23440-Aventure-Victor-le-vicieux-Avec-v%C3%A9t%C3%A9ran</t>
  </si>
  <si>
    <t>magedor post 3</t>
  </si>
  <si>
    <t>94 R + 22 SE + 154 K</t>
  </si>
  <si>
    <t>Pertes environ 90 R</t>
  </si>
  <si>
    <t>48 R + 200 SE (ou S + K ça revient au même)</t>
  </si>
  <si>
    <t>22 R + 200 SE</t>
  </si>
  <si>
    <t>Camp 8 - Block long</t>
  </si>
  <si>
    <t>Camp 7 - Block long</t>
  </si>
  <si>
    <t>1 S + 60 SE</t>
  </si>
  <si>
    <t>5 rounds</t>
  </si>
  <si>
    <t>59 SE</t>
  </si>
  <si>
    <t>1 S + 53 SE</t>
  </si>
  <si>
    <t>Camp 9 - Block long</t>
  </si>
  <si>
    <t>Camp 10 - attaque simple</t>
  </si>
  <si>
    <t>une partie peut être remplacée par S</t>
  </si>
  <si>
    <t xml:space="preserve">soldats  </t>
  </si>
  <si>
    <t>3min24</t>
  </si>
  <si>
    <t>6min32</t>
  </si>
  <si>
    <t>6min24</t>
  </si>
  <si>
    <t>E</t>
  </si>
  <si>
    <t>6min40</t>
  </si>
  <si>
    <t>3min32</t>
  </si>
  <si>
    <t>6min48</t>
  </si>
  <si>
    <t>3min28</t>
  </si>
  <si>
    <t>3min20</t>
  </si>
  <si>
    <t>3min12</t>
  </si>
  <si>
    <t>2 entrepots normaux</t>
  </si>
  <si>
    <t>1 normal</t>
  </si>
  <si>
    <t>3min40</t>
  </si>
  <si>
    <t>7min20</t>
  </si>
  <si>
    <t>6min56</t>
  </si>
  <si>
    <t>7min12</t>
  </si>
  <si>
    <t>3min48</t>
  </si>
  <si>
    <t>très léger gain de prod pour perte de stock</t>
  </si>
  <si>
    <t>2 entrepots lourd</t>
  </si>
  <si>
    <t>7min36</t>
  </si>
  <si>
    <t>3min36</t>
  </si>
  <si>
    <t>7min04</t>
  </si>
  <si>
    <t>3min16</t>
  </si>
  <si>
    <t>de perte mais gros stock en plus</t>
  </si>
  <si>
    <t>(equivalent 4 entrepots)</t>
  </si>
  <si>
    <t>2 entrepots placés différement</t>
  </si>
  <si>
    <t>plus long de 336 mais gagne un batiment</t>
  </si>
  <si>
    <t>faire le ccalcul en décalant d une case vers le haut l entrepot seul !</t>
  </si>
  <si>
    <t xml:space="preserve">attention car eloignement des mines en plus ! </t>
  </si>
  <si>
    <t>3min44</t>
  </si>
  <si>
    <t>Aventure Retour au nid de bandit</t>
  </si>
  <si>
    <t>Camp 1 - Block long</t>
  </si>
  <si>
    <t>Camp 2 - 2 vagues</t>
  </si>
  <si>
    <t>47 R</t>
  </si>
  <si>
    <t>63 R + 1 SE + 129 C + 77 K</t>
  </si>
  <si>
    <t>Pertes environ 47 R + 56 R</t>
  </si>
  <si>
    <t>25 SE + 138 C</t>
  </si>
  <si>
    <t>Zone Ouest</t>
  </si>
  <si>
    <t>Zone Est</t>
  </si>
  <si>
    <t>57 R + 1 SE + 160 C + 52 K</t>
  </si>
  <si>
    <t>Zone Nord Ouest</t>
  </si>
  <si>
    <t>60 R</t>
  </si>
  <si>
    <t>77 R + 1 SE + 100 C + 92 K</t>
  </si>
  <si>
    <t>Pertes environ 60 R + 70 R</t>
  </si>
  <si>
    <t>177 C</t>
  </si>
  <si>
    <t>Zone Nord</t>
  </si>
  <si>
    <t>104 R + 1 SE + 85 C + 80 K</t>
  </si>
  <si>
    <t>50 C</t>
  </si>
  <si>
    <t>Pertes environ 89 R + 50 C</t>
  </si>
  <si>
    <t>Boss final</t>
  </si>
  <si>
    <t>82 R + 1 SE + 99 A + 88 K</t>
  </si>
  <si>
    <t>Aventure Attaque surprise</t>
  </si>
  <si>
    <t>Camp  1 - attaque simple</t>
  </si>
  <si>
    <t>1 SE + 99 C + 170 A</t>
  </si>
  <si>
    <t>Camp  3 - attaque simple</t>
  </si>
  <si>
    <t>31 M + 99 C + 140 A</t>
  </si>
  <si>
    <t>Pertes environ 26 M</t>
  </si>
  <si>
    <t>72 SE + 128 C</t>
  </si>
  <si>
    <t>9 rounds</t>
  </si>
  <si>
    <t>Camp  6 - Block long</t>
  </si>
  <si>
    <t>40 S + 100 SE + 60 C</t>
  </si>
  <si>
    <t>8 rounds</t>
  </si>
  <si>
    <t>Camp  8 - attaque simple</t>
  </si>
  <si>
    <t>54 M + 1 SE + 215 A</t>
  </si>
  <si>
    <t>Pertes environ 46 M</t>
  </si>
  <si>
    <t>Camp  W1 - attaque simple</t>
  </si>
  <si>
    <t>100 SE</t>
  </si>
  <si>
    <t>Camp  9 - Block long</t>
  </si>
  <si>
    <t>50 S + 80 SE + 70 C</t>
  </si>
  <si>
    <t>52 R + 1 SE + 107 C + 110 A</t>
  </si>
  <si>
    <t>1 SE + 130 C + 139 A</t>
  </si>
  <si>
    <t>Camp  13 - Block long</t>
  </si>
  <si>
    <t>72 SE + 110 C</t>
  </si>
  <si>
    <t>64 S + 136 SE</t>
  </si>
  <si>
    <t>Camp  15 - Block long</t>
  </si>
  <si>
    <t>95 S + 105 SE</t>
  </si>
  <si>
    <t>83 S + 17 SE + 100 C</t>
  </si>
  <si>
    <t>Camp  16 - Block long</t>
  </si>
  <si>
    <t>Camp  17 - attaque simple</t>
  </si>
  <si>
    <t>51 R + 1 SE + 110 C + 108 A</t>
  </si>
  <si>
    <t>Pertes environ 45 R</t>
  </si>
  <si>
    <t>50 S + 128 SE + 22 A</t>
  </si>
  <si>
    <t>Camp  18 - Block long</t>
  </si>
  <si>
    <t>Camp  19 - Block long</t>
  </si>
  <si>
    <t>Camp  20 - Block long</t>
  </si>
  <si>
    <t>Camp  21 - Block long</t>
  </si>
  <si>
    <t>Camp  22 - attaque simple</t>
  </si>
  <si>
    <t>70 M + 1 SE + 199 A</t>
  </si>
  <si>
    <t>Pertes environ 64 M</t>
  </si>
  <si>
    <t>Soldats</t>
  </si>
  <si>
    <t>SE</t>
  </si>
  <si>
    <t>27 S + 120 SE + 53 C</t>
  </si>
  <si>
    <t>98 S + 77 SE + 20 C + 5A</t>
  </si>
  <si>
    <t>118 S + 67 SE + 15 A</t>
  </si>
  <si>
    <t>135 S + 60 SE + 5 A</t>
  </si>
  <si>
    <t>se</t>
  </si>
  <si>
    <t>s</t>
  </si>
  <si>
    <t>a</t>
  </si>
  <si>
    <t>c</t>
  </si>
  <si>
    <t>Attendre 3 S entre le premier et le second GG car même nombre de drapeaux</t>
  </si>
  <si>
    <t>ZONE 1</t>
  </si>
  <si>
    <t>ZONE 2</t>
  </si>
  <si>
    <t>ZONE 3</t>
  </si>
  <si>
    <t>ZONE 4</t>
  </si>
  <si>
    <t>ZONE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</si>
</sst>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/>
    <xf numFmtId="2" fontId="0" fillId="0" borderId="0" xfId="0" applyNumberFormat="1"/>
    <xf numFmtId="0" fontId="0" fillId="0" borderId="0" xfId="0" applyFill="1"/>
    <xf numFmtId="2" fontId="0" fillId="3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2" fontId="0" fillId="0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64" fontId="0" fillId="5" borderId="0" xfId="0" applyNumberFormat="1" applyFill="1"/>
    <xf numFmtId="164" fontId="0" fillId="3" borderId="0" xfId="0" applyNumberFormat="1" applyFill="1"/>
    <xf numFmtId="0" fontId="1" fillId="0" borderId="0" xfId="0" applyFont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3" borderId="0" xfId="0" applyFill="1" applyAlignment="1">
      <alignment vertical="justify"/>
    </xf>
    <xf numFmtId="0" fontId="0" fillId="0" borderId="0" xfId="0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6"/>
  <sheetViews>
    <sheetView tabSelected="1" workbookViewId="0">
      <selection activeCell="K121" sqref="K121"/>
    </sheetView>
  </sheetViews>
  <sheetFormatPr baseColWidth="10" defaultRowHeight="15" x14ac:dyDescent="0.25"/>
  <cols>
    <col min="1" max="1" width="20.7109375" customWidth="1"/>
    <col min="2" max="2" width="6.7109375" customWidth="1"/>
    <col min="3" max="3" width="4.7109375" style="3" customWidth="1"/>
    <col min="4" max="4" width="8.7109375" customWidth="1"/>
    <col min="5" max="5" width="26.42578125" customWidth="1"/>
    <col min="6" max="6" width="19.28515625" customWidth="1"/>
    <col min="7" max="9" width="12.7109375" customWidth="1"/>
    <col min="11" max="11" width="18.5703125" customWidth="1"/>
    <col min="12" max="12" width="6.85546875" customWidth="1"/>
    <col min="15" max="15" width="18.5703125" customWidth="1"/>
    <col min="17" max="21" width="8.7109375" customWidth="1"/>
  </cols>
  <sheetData>
    <row r="2" spans="1:21" x14ac:dyDescent="0.25">
      <c r="A2" t="s">
        <v>2</v>
      </c>
      <c r="E2" t="s">
        <v>30</v>
      </c>
      <c r="F2" t="s">
        <v>41</v>
      </c>
      <c r="G2" t="s">
        <v>31</v>
      </c>
      <c r="H2" t="s">
        <v>32</v>
      </c>
      <c r="I2" t="s">
        <v>35</v>
      </c>
      <c r="J2" t="s">
        <v>33</v>
      </c>
      <c r="K2" t="s">
        <v>37</v>
      </c>
      <c r="M2" t="s">
        <v>32</v>
      </c>
      <c r="N2" t="s">
        <v>35</v>
      </c>
      <c r="O2" t="s">
        <v>37</v>
      </c>
      <c r="P2" t="s">
        <v>73</v>
      </c>
    </row>
    <row r="3" spans="1:21" x14ac:dyDescent="0.25">
      <c r="Q3" t="s">
        <v>254</v>
      </c>
      <c r="R3" t="s">
        <v>250</v>
      </c>
      <c r="S3" t="s">
        <v>251</v>
      </c>
      <c r="T3" t="s">
        <v>252</v>
      </c>
      <c r="U3" t="s">
        <v>253</v>
      </c>
    </row>
    <row r="4" spans="1:21" x14ac:dyDescent="0.25">
      <c r="A4" t="s">
        <v>1</v>
      </c>
      <c r="B4" s="1">
        <v>5</v>
      </c>
      <c r="E4" s="5" t="s">
        <v>53</v>
      </c>
      <c r="F4" s="1">
        <v>0</v>
      </c>
      <c r="G4" s="1">
        <v>0</v>
      </c>
      <c r="H4" s="1">
        <f>B4</f>
        <v>5</v>
      </c>
      <c r="I4" s="1">
        <f>H4-G4-F4</f>
        <v>5</v>
      </c>
      <c r="J4" s="1">
        <v>90</v>
      </c>
      <c r="K4" s="6">
        <f>(I4*60*60)/(J4*1000)</f>
        <v>0.2</v>
      </c>
      <c r="L4" s="2">
        <f>K4*0.4</f>
        <v>8.0000000000000016E-2</v>
      </c>
      <c r="M4">
        <f>H4*2</f>
        <v>10</v>
      </c>
      <c r="N4">
        <f>M4-G4-F4</f>
        <v>10</v>
      </c>
      <c r="O4" s="10">
        <f>(N4*60*60)/(J4*1000)</f>
        <v>0.4</v>
      </c>
      <c r="P4" s="12">
        <f>O4-K4</f>
        <v>0.2</v>
      </c>
      <c r="Q4" s="13">
        <f>P4*9</f>
        <v>1.8</v>
      </c>
      <c r="R4" s="12">
        <f>Q4*2</f>
        <v>3.6</v>
      </c>
      <c r="S4" s="13">
        <f>Q4*3</f>
        <v>5.4</v>
      </c>
      <c r="T4" s="12">
        <f>Q4*4</f>
        <v>7.2</v>
      </c>
      <c r="U4" s="12">
        <f>Q4*5</f>
        <v>9</v>
      </c>
    </row>
    <row r="5" spans="1:21" x14ac:dyDescent="0.25">
      <c r="A5" t="s">
        <v>0</v>
      </c>
      <c r="B5" s="1">
        <v>10</v>
      </c>
      <c r="E5" s="5" t="s">
        <v>34</v>
      </c>
      <c r="F5" s="1">
        <v>0</v>
      </c>
      <c r="G5" s="1">
        <f>B4</f>
        <v>5</v>
      </c>
      <c r="H5" s="1">
        <f>B6</f>
        <v>8</v>
      </c>
      <c r="I5" s="1">
        <f t="shared" ref="I5:I42" si="0">H5-G5-F5</f>
        <v>3</v>
      </c>
      <c r="J5" s="1">
        <v>180</v>
      </c>
      <c r="K5" s="6">
        <f t="shared" ref="K5:K42" si="1">(I5*60*60)/(J5*1000)</f>
        <v>0.06</v>
      </c>
      <c r="M5">
        <f t="shared" ref="M5:M42" si="2">H5*2</f>
        <v>16</v>
      </c>
      <c r="N5">
        <f t="shared" ref="N5:N42" si="3">M5-G5-F5</f>
        <v>11</v>
      </c>
      <c r="O5" s="10">
        <f t="shared" ref="O5:O42" si="4">(N5*60*60)/(J5*1000)</f>
        <v>0.22</v>
      </c>
      <c r="P5" s="12">
        <f t="shared" ref="P5:P42" si="5">O5-K5</f>
        <v>0.16</v>
      </c>
      <c r="Q5" s="13">
        <f t="shared" ref="Q5:Q42" si="6">P5*9</f>
        <v>1.44</v>
      </c>
      <c r="R5" s="12">
        <f t="shared" ref="R5:R42" si="7">Q5*2</f>
        <v>2.88</v>
      </c>
      <c r="S5" s="13">
        <f t="shared" ref="S5:S42" si="8">Q5*3</f>
        <v>4.32</v>
      </c>
      <c r="T5" s="12">
        <f t="shared" ref="T5:T42" si="9">Q5*4</f>
        <v>5.76</v>
      </c>
      <c r="U5" s="12">
        <f t="shared" ref="U5:U42" si="10">Q5*5</f>
        <v>7.1999999999999993</v>
      </c>
    </row>
    <row r="6" spans="1:21" x14ac:dyDescent="0.25">
      <c r="A6" t="s">
        <v>3</v>
      </c>
      <c r="B6" s="1">
        <v>8</v>
      </c>
      <c r="E6" s="5" t="s">
        <v>36</v>
      </c>
      <c r="F6" s="1">
        <v>0</v>
      </c>
      <c r="G6" s="1">
        <v>0</v>
      </c>
      <c r="H6" s="1">
        <v>0</v>
      </c>
      <c r="I6" s="1">
        <f t="shared" si="0"/>
        <v>0</v>
      </c>
      <c r="J6" s="1">
        <v>135</v>
      </c>
      <c r="K6" s="10">
        <f t="shared" si="1"/>
        <v>0</v>
      </c>
      <c r="M6">
        <f t="shared" si="2"/>
        <v>0</v>
      </c>
      <c r="N6">
        <f t="shared" si="3"/>
        <v>0</v>
      </c>
      <c r="O6" s="10">
        <f t="shared" si="4"/>
        <v>0</v>
      </c>
      <c r="P6" s="12">
        <f t="shared" si="5"/>
        <v>0</v>
      </c>
      <c r="Q6" s="13">
        <f t="shared" si="6"/>
        <v>0</v>
      </c>
      <c r="R6" s="12">
        <f t="shared" si="7"/>
        <v>0</v>
      </c>
      <c r="S6" s="13">
        <f t="shared" si="8"/>
        <v>0</v>
      </c>
      <c r="T6" s="12">
        <f t="shared" si="9"/>
        <v>0</v>
      </c>
      <c r="U6" s="12">
        <f t="shared" si="10"/>
        <v>0</v>
      </c>
    </row>
    <row r="7" spans="1:21" x14ac:dyDescent="0.25">
      <c r="A7" t="s">
        <v>4</v>
      </c>
      <c r="B7" s="1">
        <v>8</v>
      </c>
      <c r="E7" s="5" t="s">
        <v>56</v>
      </c>
      <c r="F7" s="1">
        <v>0</v>
      </c>
      <c r="G7" s="1">
        <v>0</v>
      </c>
      <c r="H7" s="1">
        <f>B5</f>
        <v>10</v>
      </c>
      <c r="I7" s="1">
        <f t="shared" si="0"/>
        <v>10</v>
      </c>
      <c r="J7" s="1">
        <v>300</v>
      </c>
      <c r="K7" s="6">
        <f t="shared" si="1"/>
        <v>0.12</v>
      </c>
      <c r="M7">
        <f t="shared" si="2"/>
        <v>20</v>
      </c>
      <c r="N7">
        <f t="shared" si="3"/>
        <v>20</v>
      </c>
      <c r="O7" s="10">
        <f t="shared" si="4"/>
        <v>0.24</v>
      </c>
      <c r="P7" s="12">
        <f t="shared" si="5"/>
        <v>0.12</v>
      </c>
      <c r="Q7" s="13">
        <f t="shared" si="6"/>
        <v>1.08</v>
      </c>
      <c r="R7" s="12">
        <f t="shared" si="7"/>
        <v>2.16</v>
      </c>
      <c r="S7" s="13">
        <f t="shared" si="8"/>
        <v>3.24</v>
      </c>
      <c r="T7" s="12">
        <f t="shared" si="9"/>
        <v>4.32</v>
      </c>
      <c r="U7" s="12">
        <f t="shared" si="10"/>
        <v>5.4</v>
      </c>
    </row>
    <row r="8" spans="1:21" x14ac:dyDescent="0.25">
      <c r="B8" s="1"/>
      <c r="D8" t="s">
        <v>40</v>
      </c>
      <c r="E8" s="5" t="s">
        <v>38</v>
      </c>
      <c r="F8" s="1">
        <f>B18/10</f>
        <v>3</v>
      </c>
      <c r="G8" s="1">
        <v>0</v>
      </c>
      <c r="H8" s="1">
        <f>B7</f>
        <v>8</v>
      </c>
      <c r="I8" s="1">
        <f t="shared" si="0"/>
        <v>5</v>
      </c>
      <c r="J8" s="1">
        <v>180</v>
      </c>
      <c r="K8" s="6">
        <f t="shared" si="1"/>
        <v>0.1</v>
      </c>
      <c r="M8">
        <f t="shared" si="2"/>
        <v>16</v>
      </c>
      <c r="N8">
        <f t="shared" si="3"/>
        <v>13</v>
      </c>
      <c r="O8" s="10">
        <f t="shared" si="4"/>
        <v>0.26</v>
      </c>
      <c r="P8" s="12">
        <f t="shared" si="5"/>
        <v>0.16</v>
      </c>
      <c r="Q8" s="13">
        <f t="shared" si="6"/>
        <v>1.44</v>
      </c>
      <c r="R8" s="12">
        <f t="shared" si="7"/>
        <v>2.88</v>
      </c>
      <c r="S8" s="13">
        <f t="shared" si="8"/>
        <v>4.32</v>
      </c>
      <c r="T8" s="12">
        <f t="shared" si="9"/>
        <v>5.76</v>
      </c>
      <c r="U8" s="12">
        <f t="shared" si="10"/>
        <v>7.1999999999999993</v>
      </c>
    </row>
    <row r="9" spans="1:21" x14ac:dyDescent="0.25">
      <c r="A9" t="s">
        <v>23</v>
      </c>
      <c r="B9" s="1">
        <v>35</v>
      </c>
      <c r="D9" t="s">
        <v>40</v>
      </c>
      <c r="E9" s="5" t="s">
        <v>39</v>
      </c>
      <c r="F9" s="2">
        <f>((30/1000)*B6+(45/1000)*B5)*(1000/700)</f>
        <v>0.98571428571428565</v>
      </c>
      <c r="G9" s="1">
        <v>0</v>
      </c>
      <c r="H9" s="1">
        <f>B16</f>
        <v>28</v>
      </c>
      <c r="I9" s="2">
        <f t="shared" si="0"/>
        <v>27.014285714285716</v>
      </c>
      <c r="J9" s="1">
        <v>180</v>
      </c>
      <c r="K9" s="7">
        <f t="shared" si="1"/>
        <v>0.54028571428571437</v>
      </c>
      <c r="M9">
        <f t="shared" si="2"/>
        <v>56</v>
      </c>
      <c r="N9" s="4">
        <f t="shared" si="3"/>
        <v>55.014285714285712</v>
      </c>
      <c r="O9" s="10">
        <f t="shared" si="4"/>
        <v>1.1002857142857141</v>
      </c>
      <c r="P9" s="12">
        <f t="shared" si="5"/>
        <v>0.55999999999999972</v>
      </c>
      <c r="Q9" s="13">
        <f t="shared" si="6"/>
        <v>5.0399999999999974</v>
      </c>
      <c r="R9" s="14">
        <f t="shared" si="7"/>
        <v>10.079999999999995</v>
      </c>
      <c r="S9" s="13">
        <f t="shared" si="8"/>
        <v>15.119999999999992</v>
      </c>
      <c r="T9" s="12">
        <f t="shared" si="9"/>
        <v>20.159999999999989</v>
      </c>
      <c r="U9" s="12">
        <f t="shared" si="10"/>
        <v>25.199999999999989</v>
      </c>
    </row>
    <row r="10" spans="1:21" x14ac:dyDescent="0.25">
      <c r="A10" t="s">
        <v>5</v>
      </c>
      <c r="B10" s="1">
        <v>20</v>
      </c>
      <c r="E10" s="5" t="s">
        <v>42</v>
      </c>
      <c r="F10" s="1">
        <v>0</v>
      </c>
      <c r="G10" s="1">
        <f>2*B4</f>
        <v>10</v>
      </c>
      <c r="H10" s="1">
        <f>B12</f>
        <v>5</v>
      </c>
      <c r="I10" s="1">
        <f t="shared" si="0"/>
        <v>-5</v>
      </c>
      <c r="J10" s="1">
        <v>180</v>
      </c>
      <c r="K10" s="10">
        <f t="shared" si="1"/>
        <v>-0.1</v>
      </c>
      <c r="M10">
        <f t="shared" si="2"/>
        <v>10</v>
      </c>
      <c r="N10">
        <f t="shared" si="3"/>
        <v>0</v>
      </c>
      <c r="O10" s="10">
        <f t="shared" si="4"/>
        <v>0</v>
      </c>
      <c r="P10" s="12">
        <f t="shared" si="5"/>
        <v>0.1</v>
      </c>
      <c r="Q10" s="13">
        <f t="shared" si="6"/>
        <v>0.9</v>
      </c>
      <c r="R10" s="12">
        <f t="shared" si="7"/>
        <v>1.8</v>
      </c>
      <c r="S10" s="13">
        <f t="shared" si="8"/>
        <v>2.7</v>
      </c>
      <c r="T10" s="12">
        <f t="shared" si="9"/>
        <v>3.6</v>
      </c>
      <c r="U10" s="12">
        <f t="shared" si="10"/>
        <v>4.5</v>
      </c>
    </row>
    <row r="11" spans="1:21" x14ac:dyDescent="0.25">
      <c r="A11" t="s">
        <v>6</v>
      </c>
      <c r="B11" s="1">
        <v>35</v>
      </c>
      <c r="E11" s="5" t="s">
        <v>43</v>
      </c>
      <c r="F11" s="1">
        <v>0</v>
      </c>
      <c r="G11" s="1">
        <f>B16+B12</f>
        <v>33</v>
      </c>
      <c r="H11" s="1">
        <f>B11</f>
        <v>35</v>
      </c>
      <c r="I11" s="1">
        <f t="shared" si="0"/>
        <v>2</v>
      </c>
      <c r="J11" s="1">
        <v>360</v>
      </c>
      <c r="K11" s="6">
        <f t="shared" si="1"/>
        <v>0.02</v>
      </c>
      <c r="M11">
        <f t="shared" si="2"/>
        <v>70</v>
      </c>
      <c r="N11">
        <f t="shared" si="3"/>
        <v>37</v>
      </c>
      <c r="O11" s="10">
        <f t="shared" si="4"/>
        <v>0.37</v>
      </c>
      <c r="P11" s="12">
        <f t="shared" si="5"/>
        <v>0.35</v>
      </c>
      <c r="Q11" s="13">
        <f t="shared" si="6"/>
        <v>3.15</v>
      </c>
      <c r="R11" s="12">
        <f t="shared" si="7"/>
        <v>6.3</v>
      </c>
      <c r="S11" s="15">
        <f t="shared" si="8"/>
        <v>9.4499999999999993</v>
      </c>
      <c r="T11" s="12">
        <f t="shared" si="9"/>
        <v>12.6</v>
      </c>
      <c r="U11" s="12">
        <f t="shared" si="10"/>
        <v>15.75</v>
      </c>
    </row>
    <row r="12" spans="1:21" x14ac:dyDescent="0.25">
      <c r="A12" t="s">
        <v>7</v>
      </c>
      <c r="B12" s="1">
        <v>5</v>
      </c>
      <c r="E12" s="5" t="s">
        <v>44</v>
      </c>
      <c r="F12" s="1">
        <v>0</v>
      </c>
      <c r="G12" s="1">
        <f>B11</f>
        <v>35</v>
      </c>
      <c r="H12" s="1">
        <f>B17</f>
        <v>29</v>
      </c>
      <c r="I12" s="1">
        <f t="shared" si="0"/>
        <v>-6</v>
      </c>
      <c r="J12" s="1">
        <v>360</v>
      </c>
      <c r="K12" s="11">
        <f t="shared" si="1"/>
        <v>-0.06</v>
      </c>
      <c r="M12">
        <f t="shared" si="2"/>
        <v>58</v>
      </c>
      <c r="N12">
        <f t="shared" si="3"/>
        <v>23</v>
      </c>
      <c r="O12" s="10">
        <f t="shared" si="4"/>
        <v>0.23</v>
      </c>
      <c r="P12" s="12">
        <f t="shared" si="5"/>
        <v>0.29000000000000004</v>
      </c>
      <c r="Q12" s="13">
        <f t="shared" si="6"/>
        <v>2.6100000000000003</v>
      </c>
      <c r="R12" s="12">
        <f t="shared" si="7"/>
        <v>5.2200000000000006</v>
      </c>
      <c r="S12" s="15">
        <f t="shared" si="8"/>
        <v>7.830000000000001</v>
      </c>
      <c r="T12" s="12">
        <f t="shared" si="9"/>
        <v>10.440000000000001</v>
      </c>
      <c r="U12" s="12">
        <f t="shared" si="10"/>
        <v>13.05</v>
      </c>
    </row>
    <row r="13" spans="1:21" x14ac:dyDescent="0.25">
      <c r="A13" t="s">
        <v>24</v>
      </c>
      <c r="B13" s="1">
        <v>15</v>
      </c>
      <c r="D13" t="s">
        <v>40</v>
      </c>
      <c r="E13" s="5" t="s">
        <v>45</v>
      </c>
      <c r="F13" s="1">
        <f>((20*B6/1000)+(5*B5/1000))*(1000/200)</f>
        <v>1.05</v>
      </c>
      <c r="G13" s="1">
        <v>0</v>
      </c>
      <c r="H13" s="1">
        <f>B13</f>
        <v>15</v>
      </c>
      <c r="I13" s="2">
        <f t="shared" si="0"/>
        <v>13.95</v>
      </c>
      <c r="J13" s="1">
        <v>720</v>
      </c>
      <c r="K13" s="6">
        <f t="shared" si="1"/>
        <v>6.9750000000000006E-2</v>
      </c>
      <c r="M13">
        <f t="shared" si="2"/>
        <v>30</v>
      </c>
      <c r="N13" s="4">
        <f t="shared" si="3"/>
        <v>28.95</v>
      </c>
      <c r="O13" s="10">
        <f t="shared" si="4"/>
        <v>0.14474999999999999</v>
      </c>
      <c r="P13" s="12">
        <f t="shared" si="5"/>
        <v>7.4999999999999983E-2</v>
      </c>
      <c r="Q13" s="13">
        <f t="shared" si="6"/>
        <v>0.67499999999999982</v>
      </c>
      <c r="R13" s="12">
        <f t="shared" si="7"/>
        <v>1.3499999999999996</v>
      </c>
      <c r="S13" s="13">
        <f t="shared" si="8"/>
        <v>2.0249999999999995</v>
      </c>
      <c r="T13" s="12">
        <f t="shared" si="9"/>
        <v>2.6999999999999993</v>
      </c>
      <c r="U13" s="12">
        <f t="shared" si="10"/>
        <v>3.3749999999999991</v>
      </c>
    </row>
    <row r="14" spans="1:21" x14ac:dyDescent="0.25">
      <c r="A14" t="s">
        <v>8</v>
      </c>
      <c r="B14" s="1">
        <v>3</v>
      </c>
      <c r="E14" s="5" t="s">
        <v>46</v>
      </c>
      <c r="F14" s="1">
        <v>0</v>
      </c>
      <c r="G14" s="1">
        <f>B11+2*B12</f>
        <v>45</v>
      </c>
      <c r="H14" s="1">
        <f>B19</f>
        <v>32</v>
      </c>
      <c r="I14" s="1">
        <f t="shared" si="0"/>
        <v>-13</v>
      </c>
      <c r="J14" s="1">
        <v>720</v>
      </c>
      <c r="K14" s="11">
        <f t="shared" si="1"/>
        <v>-6.5000000000000002E-2</v>
      </c>
      <c r="M14">
        <f t="shared" si="2"/>
        <v>64</v>
      </c>
      <c r="N14">
        <f t="shared" si="3"/>
        <v>19</v>
      </c>
      <c r="O14" s="10">
        <f t="shared" si="4"/>
        <v>9.5000000000000001E-2</v>
      </c>
      <c r="P14" s="12">
        <f t="shared" si="5"/>
        <v>0.16</v>
      </c>
      <c r="Q14" s="13">
        <f t="shared" si="6"/>
        <v>1.44</v>
      </c>
      <c r="R14" s="12">
        <f t="shared" si="7"/>
        <v>2.88</v>
      </c>
      <c r="S14" s="15">
        <f t="shared" si="8"/>
        <v>4.32</v>
      </c>
      <c r="T14" s="12">
        <f t="shared" si="9"/>
        <v>5.76</v>
      </c>
      <c r="U14" s="12">
        <f t="shared" si="10"/>
        <v>7.1999999999999993</v>
      </c>
    </row>
    <row r="15" spans="1:21" x14ac:dyDescent="0.25">
      <c r="A15" t="s">
        <v>9</v>
      </c>
      <c r="B15" s="1">
        <v>24</v>
      </c>
      <c r="E15" s="5" t="s">
        <v>47</v>
      </c>
      <c r="F15" s="1">
        <v>0</v>
      </c>
      <c r="G15" s="1">
        <f>B13+2*B14</f>
        <v>21</v>
      </c>
      <c r="H15" s="1">
        <f>B10</f>
        <v>20</v>
      </c>
      <c r="I15" s="1">
        <f t="shared" si="0"/>
        <v>-1</v>
      </c>
      <c r="J15" s="1">
        <v>720</v>
      </c>
      <c r="K15" s="10">
        <f t="shared" si="1"/>
        <v>-5.0000000000000001E-3</v>
      </c>
      <c r="M15">
        <f t="shared" si="2"/>
        <v>40</v>
      </c>
      <c r="N15">
        <f t="shared" si="3"/>
        <v>19</v>
      </c>
      <c r="O15" s="10">
        <f t="shared" si="4"/>
        <v>9.5000000000000001E-2</v>
      </c>
      <c r="P15" s="12">
        <f t="shared" si="5"/>
        <v>0.1</v>
      </c>
      <c r="Q15" s="13">
        <f t="shared" si="6"/>
        <v>0.9</v>
      </c>
      <c r="R15" s="12">
        <f t="shared" si="7"/>
        <v>1.8</v>
      </c>
      <c r="S15" s="13">
        <f t="shared" si="8"/>
        <v>2.7</v>
      </c>
      <c r="T15" s="12">
        <f t="shared" si="9"/>
        <v>3.6</v>
      </c>
      <c r="U15" s="12">
        <f t="shared" si="10"/>
        <v>4.5</v>
      </c>
    </row>
    <row r="16" spans="1:21" x14ac:dyDescent="0.25">
      <c r="A16" t="s">
        <v>10</v>
      </c>
      <c r="B16" s="1">
        <v>28</v>
      </c>
      <c r="D16" t="s">
        <v>40</v>
      </c>
      <c r="E16" s="5" t="s">
        <v>48</v>
      </c>
      <c r="F16" s="1">
        <f>(10*B6+15*B5)/1000</f>
        <v>0.23</v>
      </c>
      <c r="G16" s="1">
        <v>0</v>
      </c>
      <c r="H16" s="1">
        <f>B14</f>
        <v>3</v>
      </c>
      <c r="I16" s="1">
        <f t="shared" si="0"/>
        <v>2.77</v>
      </c>
      <c r="J16" s="1">
        <v>180</v>
      </c>
      <c r="K16" s="6">
        <f t="shared" si="1"/>
        <v>5.5399999999999998E-2</v>
      </c>
      <c r="M16">
        <f t="shared" si="2"/>
        <v>6</v>
      </c>
      <c r="N16" s="4">
        <f t="shared" si="3"/>
        <v>5.77</v>
      </c>
      <c r="O16" s="10">
        <f t="shared" si="4"/>
        <v>0.1154</v>
      </c>
      <c r="P16" s="12">
        <f t="shared" si="5"/>
        <v>6.0000000000000005E-2</v>
      </c>
      <c r="Q16" s="13">
        <f t="shared" si="6"/>
        <v>0.54</v>
      </c>
      <c r="R16" s="12">
        <f t="shared" si="7"/>
        <v>1.08</v>
      </c>
      <c r="S16" s="13">
        <f t="shared" si="8"/>
        <v>1.62</v>
      </c>
      <c r="T16" s="12">
        <f t="shared" si="9"/>
        <v>2.16</v>
      </c>
      <c r="U16" s="12">
        <f t="shared" si="10"/>
        <v>2.7</v>
      </c>
    </row>
    <row r="17" spans="1:21" x14ac:dyDescent="0.25">
      <c r="A17" t="s">
        <v>25</v>
      </c>
      <c r="B17" s="1">
        <v>29</v>
      </c>
      <c r="E17" s="5" t="s">
        <v>49</v>
      </c>
      <c r="F17" s="1">
        <v>0</v>
      </c>
      <c r="G17" s="1">
        <f>B15+2*B14</f>
        <v>30</v>
      </c>
      <c r="H17" s="1">
        <f>B18</f>
        <v>30</v>
      </c>
      <c r="I17" s="1">
        <f t="shared" si="0"/>
        <v>0</v>
      </c>
      <c r="J17" s="1">
        <v>180</v>
      </c>
      <c r="K17" s="6">
        <f t="shared" si="1"/>
        <v>0</v>
      </c>
      <c r="M17">
        <f t="shared" si="2"/>
        <v>60</v>
      </c>
      <c r="N17">
        <f t="shared" si="3"/>
        <v>30</v>
      </c>
      <c r="O17" s="10">
        <f t="shared" si="4"/>
        <v>0.6</v>
      </c>
      <c r="P17" s="12">
        <f t="shared" si="5"/>
        <v>0.6</v>
      </c>
      <c r="Q17" s="13">
        <f t="shared" si="6"/>
        <v>5.3999999999999995</v>
      </c>
      <c r="R17" s="12">
        <f t="shared" si="7"/>
        <v>10.799999999999999</v>
      </c>
      <c r="S17" s="14">
        <f t="shared" si="8"/>
        <v>16.2</v>
      </c>
      <c r="T17" s="12">
        <f t="shared" si="9"/>
        <v>21.599999999999998</v>
      </c>
      <c r="U17" s="12">
        <f t="shared" si="10"/>
        <v>26.999999999999996</v>
      </c>
    </row>
    <row r="18" spans="1:21" x14ac:dyDescent="0.25">
      <c r="A18" t="s">
        <v>11</v>
      </c>
      <c r="B18" s="1">
        <v>30</v>
      </c>
      <c r="E18" s="5" t="s">
        <v>50</v>
      </c>
      <c r="F18" s="1">
        <v>0</v>
      </c>
      <c r="G18" s="1">
        <f>B13</f>
        <v>15</v>
      </c>
      <c r="H18" s="1">
        <f>B15</f>
        <v>24</v>
      </c>
      <c r="I18" s="1">
        <f t="shared" si="0"/>
        <v>9</v>
      </c>
      <c r="J18" s="1">
        <v>360</v>
      </c>
      <c r="K18" s="6">
        <f t="shared" si="1"/>
        <v>0.09</v>
      </c>
      <c r="M18">
        <f t="shared" si="2"/>
        <v>48</v>
      </c>
      <c r="N18">
        <f t="shared" si="3"/>
        <v>33</v>
      </c>
      <c r="O18" s="10">
        <f t="shared" si="4"/>
        <v>0.33</v>
      </c>
      <c r="P18" s="12">
        <f t="shared" si="5"/>
        <v>0.24000000000000002</v>
      </c>
      <c r="Q18" s="13">
        <f t="shared" si="6"/>
        <v>2.16</v>
      </c>
      <c r="R18" s="12">
        <f t="shared" si="7"/>
        <v>4.32</v>
      </c>
      <c r="S18" s="15">
        <f t="shared" si="8"/>
        <v>6.48</v>
      </c>
      <c r="T18" s="12">
        <f t="shared" si="9"/>
        <v>8.64</v>
      </c>
      <c r="U18" s="12">
        <f t="shared" si="10"/>
        <v>10.8</v>
      </c>
    </row>
    <row r="19" spans="1:21" x14ac:dyDescent="0.25">
      <c r="A19" t="s">
        <v>12</v>
      </c>
      <c r="B19" s="1">
        <v>32</v>
      </c>
      <c r="E19" s="5" t="s">
        <v>51</v>
      </c>
      <c r="F19" s="1">
        <v>0</v>
      </c>
      <c r="G19" s="1">
        <f>8*B4</f>
        <v>40</v>
      </c>
      <c r="H19" s="1">
        <f>B9</f>
        <v>35</v>
      </c>
      <c r="I19" s="1">
        <f t="shared" si="0"/>
        <v>-5</v>
      </c>
      <c r="J19" s="1">
        <v>720</v>
      </c>
      <c r="K19" s="6">
        <f t="shared" si="1"/>
        <v>-2.5000000000000001E-2</v>
      </c>
      <c r="M19">
        <f t="shared" si="2"/>
        <v>70</v>
      </c>
      <c r="N19">
        <f t="shared" si="3"/>
        <v>30</v>
      </c>
      <c r="O19" s="10">
        <f t="shared" si="4"/>
        <v>0.15</v>
      </c>
      <c r="P19" s="12">
        <f t="shared" si="5"/>
        <v>0.17499999999999999</v>
      </c>
      <c r="Q19" s="13">
        <f t="shared" si="6"/>
        <v>1.575</v>
      </c>
      <c r="R19" s="12">
        <f t="shared" si="7"/>
        <v>3.15</v>
      </c>
      <c r="S19" s="15">
        <f t="shared" si="8"/>
        <v>4.7249999999999996</v>
      </c>
      <c r="T19" s="12">
        <f t="shared" si="9"/>
        <v>6.3</v>
      </c>
      <c r="U19" s="12">
        <f t="shared" si="10"/>
        <v>7.875</v>
      </c>
    </row>
    <row r="20" spans="1:21" x14ac:dyDescent="0.25">
      <c r="B20" s="1"/>
      <c r="E20" s="5" t="s">
        <v>52</v>
      </c>
      <c r="F20" s="1">
        <v>0</v>
      </c>
      <c r="G20" s="1">
        <v>0</v>
      </c>
      <c r="H20" s="1">
        <v>0</v>
      </c>
      <c r="I20" s="1">
        <f t="shared" si="0"/>
        <v>0</v>
      </c>
      <c r="J20" s="1">
        <v>405</v>
      </c>
      <c r="K20" s="10">
        <f t="shared" si="1"/>
        <v>0</v>
      </c>
      <c r="M20">
        <f t="shared" si="2"/>
        <v>0</v>
      </c>
      <c r="N20">
        <f t="shared" si="3"/>
        <v>0</v>
      </c>
      <c r="O20" s="10">
        <f t="shared" si="4"/>
        <v>0</v>
      </c>
      <c r="P20" s="12">
        <f t="shared" si="5"/>
        <v>0</v>
      </c>
      <c r="Q20" s="13">
        <f t="shared" si="6"/>
        <v>0</v>
      </c>
      <c r="R20" s="12">
        <f t="shared" si="7"/>
        <v>0</v>
      </c>
      <c r="S20" s="13">
        <f t="shared" si="8"/>
        <v>0</v>
      </c>
      <c r="T20" s="12">
        <f t="shared" si="9"/>
        <v>0</v>
      </c>
      <c r="U20" s="12">
        <f t="shared" si="10"/>
        <v>0</v>
      </c>
    </row>
    <row r="21" spans="1:21" x14ac:dyDescent="0.25">
      <c r="A21" t="s">
        <v>13</v>
      </c>
      <c r="B21" s="1">
        <v>250</v>
      </c>
      <c r="E21" s="5" t="s">
        <v>54</v>
      </c>
      <c r="F21" s="1">
        <v>0</v>
      </c>
      <c r="G21" s="1">
        <f>B23</f>
        <v>9</v>
      </c>
      <c r="H21" s="1">
        <f>B30</f>
        <v>15</v>
      </c>
      <c r="I21" s="1">
        <f t="shared" si="0"/>
        <v>6</v>
      </c>
      <c r="J21" s="1">
        <v>540</v>
      </c>
      <c r="K21" s="6">
        <f t="shared" si="1"/>
        <v>0.04</v>
      </c>
      <c r="M21">
        <f t="shared" si="2"/>
        <v>30</v>
      </c>
      <c r="N21">
        <f t="shared" si="3"/>
        <v>21</v>
      </c>
      <c r="O21" s="10">
        <f t="shared" si="4"/>
        <v>0.14000000000000001</v>
      </c>
      <c r="P21" s="12">
        <f t="shared" si="5"/>
        <v>0.1</v>
      </c>
      <c r="Q21" s="13">
        <f t="shared" si="6"/>
        <v>0.9</v>
      </c>
      <c r="R21" s="12">
        <f t="shared" si="7"/>
        <v>1.8</v>
      </c>
      <c r="S21" s="13">
        <f t="shared" si="8"/>
        <v>2.7</v>
      </c>
      <c r="T21" s="12">
        <f t="shared" si="9"/>
        <v>3.6</v>
      </c>
      <c r="U21" s="12">
        <f t="shared" si="10"/>
        <v>4.5</v>
      </c>
    </row>
    <row r="22" spans="1:21" x14ac:dyDescent="0.25">
      <c r="A22" t="s">
        <v>26</v>
      </c>
      <c r="B22" s="1">
        <v>40</v>
      </c>
      <c r="E22" s="5" t="s">
        <v>55</v>
      </c>
      <c r="F22" s="1">
        <v>0</v>
      </c>
      <c r="G22" s="1">
        <v>0</v>
      </c>
      <c r="H22" s="1">
        <f>B23</f>
        <v>9</v>
      </c>
      <c r="I22" s="1">
        <f t="shared" si="0"/>
        <v>9</v>
      </c>
      <c r="J22" s="1">
        <v>270</v>
      </c>
      <c r="K22" s="6">
        <f t="shared" si="1"/>
        <v>0.12</v>
      </c>
      <c r="L22" s="4">
        <f>K22*0.4</f>
        <v>4.8000000000000001E-2</v>
      </c>
      <c r="M22">
        <f t="shared" si="2"/>
        <v>18</v>
      </c>
      <c r="N22">
        <f t="shared" si="3"/>
        <v>18</v>
      </c>
      <c r="O22" s="10">
        <f t="shared" si="4"/>
        <v>0.24</v>
      </c>
      <c r="P22" s="12">
        <f t="shared" si="5"/>
        <v>0.12</v>
      </c>
      <c r="Q22" s="13">
        <f t="shared" si="6"/>
        <v>1.08</v>
      </c>
      <c r="R22" s="12">
        <f t="shared" si="7"/>
        <v>2.16</v>
      </c>
      <c r="S22" s="13">
        <f t="shared" si="8"/>
        <v>3.24</v>
      </c>
      <c r="T22" s="12">
        <f t="shared" si="9"/>
        <v>4.32</v>
      </c>
      <c r="U22" s="12">
        <f t="shared" si="10"/>
        <v>5.4</v>
      </c>
    </row>
    <row r="23" spans="1:21" x14ac:dyDescent="0.25">
      <c r="A23" t="s">
        <v>14</v>
      </c>
      <c r="B23" s="1">
        <v>9</v>
      </c>
      <c r="D23" t="s">
        <v>40</v>
      </c>
      <c r="E23" s="5" t="s">
        <v>57</v>
      </c>
      <c r="F23" s="1">
        <v>0</v>
      </c>
      <c r="G23" s="1">
        <v>0</v>
      </c>
      <c r="H23" s="1">
        <f>B26</f>
        <v>30</v>
      </c>
      <c r="I23" s="1">
        <f t="shared" si="0"/>
        <v>30</v>
      </c>
      <c r="J23" s="1">
        <v>540</v>
      </c>
      <c r="K23" s="7">
        <f t="shared" si="1"/>
        <v>0.2</v>
      </c>
      <c r="M23">
        <f t="shared" si="2"/>
        <v>60</v>
      </c>
      <c r="N23">
        <f t="shared" si="3"/>
        <v>60</v>
      </c>
      <c r="O23" s="10">
        <f t="shared" si="4"/>
        <v>0.4</v>
      </c>
      <c r="P23" s="12">
        <f t="shared" si="5"/>
        <v>0.2</v>
      </c>
      <c r="Q23" s="13">
        <f t="shared" si="6"/>
        <v>1.8</v>
      </c>
      <c r="R23" s="12">
        <f t="shared" si="7"/>
        <v>3.6</v>
      </c>
      <c r="S23" s="15">
        <f t="shared" si="8"/>
        <v>5.4</v>
      </c>
      <c r="T23" s="12">
        <f t="shared" si="9"/>
        <v>7.2</v>
      </c>
      <c r="U23" s="12">
        <f t="shared" si="10"/>
        <v>9</v>
      </c>
    </row>
    <row r="24" spans="1:21" x14ac:dyDescent="0.25">
      <c r="A24" t="s">
        <v>15</v>
      </c>
      <c r="B24" s="1">
        <v>30</v>
      </c>
      <c r="D24" t="s">
        <v>40</v>
      </c>
      <c r="E24" s="5" t="s">
        <v>58</v>
      </c>
      <c r="F24" s="2">
        <f>(10*B30+15*B26)/1500</f>
        <v>0.4</v>
      </c>
      <c r="G24" s="1">
        <v>0</v>
      </c>
      <c r="H24" s="1">
        <f>B14</f>
        <v>3</v>
      </c>
      <c r="I24" s="2">
        <f t="shared" si="0"/>
        <v>2.6</v>
      </c>
      <c r="J24" s="1">
        <v>180</v>
      </c>
      <c r="K24" s="10">
        <f t="shared" si="1"/>
        <v>5.1999999999999998E-2</v>
      </c>
      <c r="M24">
        <f t="shared" si="2"/>
        <v>6</v>
      </c>
      <c r="N24">
        <f t="shared" si="3"/>
        <v>5.6</v>
      </c>
      <c r="O24" s="10">
        <f t="shared" si="4"/>
        <v>0.112</v>
      </c>
      <c r="P24" s="12">
        <f t="shared" si="5"/>
        <v>6.0000000000000005E-2</v>
      </c>
      <c r="Q24" s="13">
        <f t="shared" si="6"/>
        <v>0.54</v>
      </c>
      <c r="R24" s="12">
        <f t="shared" si="7"/>
        <v>1.08</v>
      </c>
      <c r="S24" s="13">
        <f t="shared" si="8"/>
        <v>1.62</v>
      </c>
      <c r="T24" s="12">
        <f t="shared" si="9"/>
        <v>2.16</v>
      </c>
      <c r="U24" s="12">
        <f t="shared" si="10"/>
        <v>2.7</v>
      </c>
    </row>
    <row r="25" spans="1:21" x14ac:dyDescent="0.25">
      <c r="A25" t="s">
        <v>16</v>
      </c>
      <c r="B25" s="1">
        <v>125</v>
      </c>
      <c r="E25" s="5" t="s">
        <v>59</v>
      </c>
      <c r="F25" s="1">
        <v>0</v>
      </c>
      <c r="G25" s="1">
        <f>(4*B28)+(6*B12)</f>
        <v>310</v>
      </c>
      <c r="H25" s="1">
        <f>B25</f>
        <v>125</v>
      </c>
      <c r="I25" s="1">
        <f t="shared" si="0"/>
        <v>-185</v>
      </c>
      <c r="J25" s="1">
        <v>720</v>
      </c>
      <c r="K25" s="10">
        <f t="shared" si="1"/>
        <v>-0.92500000000000004</v>
      </c>
      <c r="M25">
        <f t="shared" si="2"/>
        <v>250</v>
      </c>
      <c r="N25">
        <f t="shared" si="3"/>
        <v>-60</v>
      </c>
      <c r="O25" s="10">
        <f t="shared" si="4"/>
        <v>-0.3</v>
      </c>
      <c r="P25" s="12">
        <f t="shared" si="5"/>
        <v>0.625</v>
      </c>
      <c r="Q25" s="13">
        <f t="shared" si="6"/>
        <v>5.625</v>
      </c>
      <c r="R25" s="12">
        <f t="shared" si="7"/>
        <v>11.25</v>
      </c>
      <c r="S25" s="14">
        <f t="shared" si="8"/>
        <v>16.875</v>
      </c>
      <c r="T25" s="12">
        <f t="shared" si="9"/>
        <v>22.5</v>
      </c>
      <c r="U25" s="12">
        <f t="shared" si="10"/>
        <v>28.125</v>
      </c>
    </row>
    <row r="26" spans="1:21" x14ac:dyDescent="0.25">
      <c r="A26" t="s">
        <v>17</v>
      </c>
      <c r="B26" s="1">
        <v>30</v>
      </c>
      <c r="D26" t="s">
        <v>40</v>
      </c>
      <c r="E26" s="5" t="s">
        <v>77</v>
      </c>
      <c r="F26" s="2">
        <f>(((250*B23)/1000)+((250*B26)/1000)+((200*B17)/1000)*(1000/700))</f>
        <v>18.035714285714285</v>
      </c>
      <c r="G26" s="1">
        <v>0</v>
      </c>
      <c r="H26" s="1">
        <f>B28</f>
        <v>70</v>
      </c>
      <c r="I26" s="2">
        <f t="shared" si="0"/>
        <v>51.964285714285715</v>
      </c>
      <c r="J26" s="1">
        <v>720</v>
      </c>
      <c r="K26" s="7">
        <f t="shared" si="1"/>
        <v>0.25982142857142859</v>
      </c>
      <c r="M26">
        <f t="shared" si="2"/>
        <v>140</v>
      </c>
      <c r="N26" s="4">
        <f t="shared" si="3"/>
        <v>121.96428571428572</v>
      </c>
      <c r="O26" s="10">
        <f t="shared" si="4"/>
        <v>0.60982142857142863</v>
      </c>
      <c r="P26" s="12">
        <f t="shared" si="5"/>
        <v>0.35000000000000003</v>
      </c>
      <c r="Q26" s="13">
        <f t="shared" si="6"/>
        <v>3.1500000000000004</v>
      </c>
      <c r="R26" s="15">
        <f t="shared" si="7"/>
        <v>6.3000000000000007</v>
      </c>
      <c r="S26" s="13">
        <f t="shared" si="8"/>
        <v>9.4500000000000011</v>
      </c>
      <c r="T26" s="12">
        <f t="shared" si="9"/>
        <v>12.600000000000001</v>
      </c>
      <c r="U26" s="12">
        <f t="shared" si="10"/>
        <v>15.750000000000002</v>
      </c>
    </row>
    <row r="27" spans="1:21" x14ac:dyDescent="0.25">
      <c r="A27" t="s">
        <v>18</v>
      </c>
      <c r="B27" s="1">
        <v>350</v>
      </c>
      <c r="E27" s="5" t="s">
        <v>60</v>
      </c>
      <c r="F27" s="2">
        <f>((20*B23/1000)+(5*B26/1000))*(1000/400)</f>
        <v>0.82499999999999996</v>
      </c>
      <c r="G27" s="1">
        <v>0</v>
      </c>
      <c r="H27" s="1">
        <f>B13</f>
        <v>15</v>
      </c>
      <c r="I27" s="2">
        <f t="shared" si="0"/>
        <v>14.175000000000001</v>
      </c>
      <c r="J27" s="1">
        <v>720</v>
      </c>
      <c r="K27" s="10">
        <f t="shared" si="1"/>
        <v>7.0874999999999994E-2</v>
      </c>
      <c r="M27">
        <f t="shared" si="2"/>
        <v>30</v>
      </c>
      <c r="N27">
        <f t="shared" si="3"/>
        <v>29.175000000000001</v>
      </c>
      <c r="O27" s="10">
        <f t="shared" si="4"/>
        <v>0.145875</v>
      </c>
      <c r="P27" s="12">
        <f t="shared" si="5"/>
        <v>7.5000000000000011E-2</v>
      </c>
      <c r="Q27" s="13">
        <f t="shared" si="6"/>
        <v>0.67500000000000004</v>
      </c>
      <c r="R27" s="12">
        <f t="shared" si="7"/>
        <v>1.35</v>
      </c>
      <c r="S27" s="13">
        <f t="shared" si="8"/>
        <v>2.0250000000000004</v>
      </c>
      <c r="T27" s="12">
        <f t="shared" si="9"/>
        <v>2.7</v>
      </c>
      <c r="U27" s="12">
        <f t="shared" si="10"/>
        <v>3.375</v>
      </c>
    </row>
    <row r="28" spans="1:21" x14ac:dyDescent="0.25">
      <c r="A28" t="s">
        <v>19</v>
      </c>
      <c r="B28" s="1">
        <v>70</v>
      </c>
      <c r="E28" s="5" t="s">
        <v>61</v>
      </c>
      <c r="F28" s="1">
        <v>0</v>
      </c>
      <c r="G28" s="1">
        <f>2*B25+8*B12</f>
        <v>290</v>
      </c>
      <c r="H28" s="1">
        <f>B34</f>
        <v>120</v>
      </c>
      <c r="I28" s="1">
        <f t="shared" si="0"/>
        <v>-170</v>
      </c>
      <c r="J28" s="1">
        <v>720</v>
      </c>
      <c r="K28" s="10">
        <f t="shared" si="1"/>
        <v>-0.85</v>
      </c>
      <c r="M28">
        <f t="shared" si="2"/>
        <v>240</v>
      </c>
      <c r="N28">
        <f t="shared" si="3"/>
        <v>-50</v>
      </c>
      <c r="O28" s="10">
        <f t="shared" si="4"/>
        <v>-0.25</v>
      </c>
      <c r="P28" s="12">
        <f t="shared" si="5"/>
        <v>0.6</v>
      </c>
      <c r="Q28" s="13">
        <f t="shared" si="6"/>
        <v>5.3999999999999995</v>
      </c>
      <c r="R28" s="12">
        <f t="shared" si="7"/>
        <v>10.799999999999999</v>
      </c>
      <c r="S28" s="14">
        <f t="shared" si="8"/>
        <v>16.2</v>
      </c>
      <c r="T28" s="12">
        <f t="shared" si="9"/>
        <v>21.599999999999998</v>
      </c>
      <c r="U28" s="12">
        <f t="shared" si="10"/>
        <v>26.999999999999996</v>
      </c>
    </row>
    <row r="29" spans="1:21" x14ac:dyDescent="0.25">
      <c r="A29" t="s">
        <v>20</v>
      </c>
      <c r="B29" s="1">
        <v>500</v>
      </c>
      <c r="E29" s="5" t="s">
        <v>62</v>
      </c>
      <c r="F29" s="1">
        <v>0</v>
      </c>
      <c r="G29" s="1">
        <f>4*B32</f>
        <v>80</v>
      </c>
      <c r="H29" s="1">
        <f>B31</f>
        <v>60</v>
      </c>
      <c r="I29" s="1">
        <f t="shared" si="0"/>
        <v>-20</v>
      </c>
      <c r="J29" s="1">
        <v>720</v>
      </c>
      <c r="K29" s="11">
        <f t="shared" si="1"/>
        <v>-0.1</v>
      </c>
      <c r="M29">
        <f t="shared" si="2"/>
        <v>120</v>
      </c>
      <c r="N29">
        <f t="shared" si="3"/>
        <v>40</v>
      </c>
      <c r="O29" s="10">
        <f t="shared" si="4"/>
        <v>0.2</v>
      </c>
      <c r="P29" s="12">
        <f t="shared" si="5"/>
        <v>0.30000000000000004</v>
      </c>
      <c r="Q29" s="13">
        <f t="shared" si="6"/>
        <v>2.7</v>
      </c>
      <c r="R29" s="12">
        <f t="shared" si="7"/>
        <v>5.4</v>
      </c>
      <c r="S29" s="15">
        <f t="shared" si="8"/>
        <v>8.1000000000000014</v>
      </c>
      <c r="T29" s="12">
        <f t="shared" si="9"/>
        <v>10.8</v>
      </c>
      <c r="U29" s="12">
        <f t="shared" si="10"/>
        <v>13.5</v>
      </c>
    </row>
    <row r="30" spans="1:21" x14ac:dyDescent="0.25">
      <c r="A30" t="s">
        <v>27</v>
      </c>
      <c r="B30" s="1">
        <v>15</v>
      </c>
      <c r="D30" t="s">
        <v>40</v>
      </c>
      <c r="E30" s="5" t="s">
        <v>63</v>
      </c>
      <c r="F30" s="1">
        <f>(200*B14+300*B7)/1000</f>
        <v>3</v>
      </c>
      <c r="G30" s="1">
        <v>0</v>
      </c>
      <c r="H30" s="1">
        <f>B32</f>
        <v>20</v>
      </c>
      <c r="I30" s="1">
        <f t="shared" si="0"/>
        <v>17</v>
      </c>
      <c r="J30" s="1">
        <v>720</v>
      </c>
      <c r="K30" s="6">
        <f t="shared" si="1"/>
        <v>8.5000000000000006E-2</v>
      </c>
      <c r="M30">
        <f t="shared" si="2"/>
        <v>40</v>
      </c>
      <c r="N30">
        <f t="shared" si="3"/>
        <v>37</v>
      </c>
      <c r="O30" s="10">
        <f t="shared" si="4"/>
        <v>0.185</v>
      </c>
      <c r="P30" s="12">
        <f t="shared" si="5"/>
        <v>9.9999999999999992E-2</v>
      </c>
      <c r="Q30" s="13">
        <f t="shared" si="6"/>
        <v>0.89999999999999991</v>
      </c>
      <c r="R30" s="12">
        <f t="shared" si="7"/>
        <v>1.7999999999999998</v>
      </c>
      <c r="S30" s="13">
        <f t="shared" si="8"/>
        <v>2.6999999999999997</v>
      </c>
      <c r="T30" s="12">
        <f t="shared" si="9"/>
        <v>3.5999999999999996</v>
      </c>
      <c r="U30" s="12">
        <f t="shared" si="10"/>
        <v>4.5</v>
      </c>
    </row>
    <row r="31" spans="1:21" x14ac:dyDescent="0.25">
      <c r="A31" t="s">
        <v>28</v>
      </c>
      <c r="B31" s="1">
        <v>60</v>
      </c>
      <c r="E31" s="5" t="s">
        <v>64</v>
      </c>
      <c r="F31" s="1">
        <v>0</v>
      </c>
      <c r="G31" s="1">
        <f>4*B14+2*B13</f>
        <v>42</v>
      </c>
      <c r="H31" s="1">
        <f>B24</f>
        <v>30</v>
      </c>
      <c r="I31" s="1">
        <f t="shared" si="0"/>
        <v>-12</v>
      </c>
      <c r="J31" s="1">
        <v>720</v>
      </c>
      <c r="K31" s="10">
        <f t="shared" si="1"/>
        <v>-0.06</v>
      </c>
      <c r="M31">
        <f t="shared" si="2"/>
        <v>60</v>
      </c>
      <c r="N31">
        <f t="shared" si="3"/>
        <v>18</v>
      </c>
      <c r="O31" s="10">
        <f t="shared" si="4"/>
        <v>0.09</v>
      </c>
      <c r="P31" s="12">
        <f t="shared" si="5"/>
        <v>0.15</v>
      </c>
      <c r="Q31" s="13">
        <f t="shared" si="6"/>
        <v>1.3499999999999999</v>
      </c>
      <c r="R31" s="12">
        <f t="shared" si="7"/>
        <v>2.6999999999999997</v>
      </c>
      <c r="S31" s="15">
        <f t="shared" si="8"/>
        <v>4.05</v>
      </c>
      <c r="T31" s="12">
        <f t="shared" si="9"/>
        <v>5.3999999999999995</v>
      </c>
      <c r="U31" s="12">
        <f t="shared" si="10"/>
        <v>6.7499999999999991</v>
      </c>
    </row>
    <row r="32" spans="1:21" x14ac:dyDescent="0.25">
      <c r="A32" t="s">
        <v>21</v>
      </c>
      <c r="B32" s="1">
        <v>20</v>
      </c>
      <c r="D32" t="s">
        <v>40</v>
      </c>
      <c r="E32" s="5" t="s">
        <v>65</v>
      </c>
      <c r="F32" s="2">
        <f>((200*B30/1000)+(200*B26/1000)+(150*B17/1000))*(1000/2900)</f>
        <v>4.6034482758620694</v>
      </c>
      <c r="G32" s="1">
        <v>0</v>
      </c>
      <c r="H32" s="1">
        <f>B12</f>
        <v>5</v>
      </c>
      <c r="I32" s="2">
        <f t="shared" si="0"/>
        <v>0.39655172413793061</v>
      </c>
      <c r="J32" s="1">
        <v>90</v>
      </c>
      <c r="K32" s="6">
        <f t="shared" si="1"/>
        <v>1.5862068965517225E-2</v>
      </c>
      <c r="M32">
        <f t="shared" si="2"/>
        <v>10</v>
      </c>
      <c r="N32" s="4">
        <f t="shared" si="3"/>
        <v>5.3965517241379306</v>
      </c>
      <c r="O32" s="10">
        <f t="shared" si="4"/>
        <v>0.21586206896551724</v>
      </c>
      <c r="P32" s="12">
        <f t="shared" si="5"/>
        <v>0.2</v>
      </c>
      <c r="Q32" s="13">
        <f t="shared" si="6"/>
        <v>1.8</v>
      </c>
      <c r="R32" s="12">
        <f t="shared" si="7"/>
        <v>3.6</v>
      </c>
      <c r="S32" s="13">
        <f t="shared" si="8"/>
        <v>5.4</v>
      </c>
      <c r="T32" s="12">
        <f t="shared" si="9"/>
        <v>7.2</v>
      </c>
      <c r="U32" s="12">
        <f t="shared" si="10"/>
        <v>9</v>
      </c>
    </row>
    <row r="33" spans="1:21" x14ac:dyDescent="0.25">
      <c r="A33" t="s">
        <v>22</v>
      </c>
      <c r="B33" s="1">
        <v>300</v>
      </c>
      <c r="D33" t="s">
        <v>40</v>
      </c>
      <c r="E33" s="5" t="s">
        <v>66</v>
      </c>
      <c r="F33" s="1">
        <f>(((B30*1400)+(B26*1400)+(B17*1500))/1000)*(1000/300)</f>
        <v>355</v>
      </c>
      <c r="G33" s="1">
        <v>0</v>
      </c>
      <c r="H33" s="1">
        <v>350</v>
      </c>
      <c r="I33" s="1">
        <f t="shared" si="0"/>
        <v>-5</v>
      </c>
      <c r="J33" s="1">
        <v>720</v>
      </c>
      <c r="K33" s="11">
        <f t="shared" si="1"/>
        <v>-2.5000000000000001E-2</v>
      </c>
      <c r="M33">
        <f t="shared" si="2"/>
        <v>700</v>
      </c>
      <c r="N33">
        <f t="shared" si="3"/>
        <v>345</v>
      </c>
      <c r="O33" s="10">
        <f t="shared" si="4"/>
        <v>1.7250000000000001</v>
      </c>
      <c r="P33" s="12">
        <f t="shared" si="5"/>
        <v>1.75</v>
      </c>
      <c r="Q33" s="14">
        <f t="shared" si="6"/>
        <v>15.75</v>
      </c>
      <c r="R33" s="12">
        <f t="shared" si="7"/>
        <v>31.5</v>
      </c>
      <c r="S33" s="13">
        <f t="shared" si="8"/>
        <v>47.25</v>
      </c>
      <c r="T33" s="12">
        <f t="shared" si="9"/>
        <v>63</v>
      </c>
      <c r="U33" s="12">
        <f t="shared" si="10"/>
        <v>78.75</v>
      </c>
    </row>
    <row r="34" spans="1:21" x14ac:dyDescent="0.25">
      <c r="A34" t="s">
        <v>29</v>
      </c>
      <c r="B34" s="1">
        <v>120</v>
      </c>
      <c r="E34" s="5" t="s">
        <v>67</v>
      </c>
      <c r="F34" s="1"/>
      <c r="G34" s="1"/>
      <c r="H34" s="1"/>
      <c r="I34" s="1">
        <f t="shared" si="0"/>
        <v>0</v>
      </c>
      <c r="J34" s="1"/>
      <c r="K34" s="11" t="e">
        <f t="shared" si="1"/>
        <v>#DIV/0!</v>
      </c>
      <c r="M34">
        <f t="shared" si="2"/>
        <v>0</v>
      </c>
      <c r="N34">
        <f t="shared" si="3"/>
        <v>0</v>
      </c>
      <c r="O34" s="10" t="e">
        <f t="shared" si="4"/>
        <v>#DIV/0!</v>
      </c>
      <c r="P34" s="12" t="e">
        <f t="shared" si="5"/>
        <v>#DIV/0!</v>
      </c>
      <c r="Q34" s="13" t="e">
        <f t="shared" si="6"/>
        <v>#DIV/0!</v>
      </c>
      <c r="R34" s="12" t="e">
        <f t="shared" si="7"/>
        <v>#DIV/0!</v>
      </c>
      <c r="S34" s="13" t="e">
        <f t="shared" si="8"/>
        <v>#DIV/0!</v>
      </c>
      <c r="T34" s="12" t="e">
        <f t="shared" si="9"/>
        <v>#DIV/0!</v>
      </c>
      <c r="U34" s="12" t="e">
        <f t="shared" si="10"/>
        <v>#DIV/0!</v>
      </c>
    </row>
    <row r="35" spans="1:21" x14ac:dyDescent="0.25">
      <c r="E35" s="5" t="s">
        <v>68</v>
      </c>
      <c r="F35" s="1"/>
      <c r="G35" s="1"/>
      <c r="H35" s="1"/>
      <c r="I35" s="1">
        <f t="shared" si="0"/>
        <v>0</v>
      </c>
      <c r="J35" s="1"/>
      <c r="K35" s="11" t="e">
        <f t="shared" si="1"/>
        <v>#DIV/0!</v>
      </c>
      <c r="M35">
        <f t="shared" si="2"/>
        <v>0</v>
      </c>
      <c r="N35">
        <f t="shared" si="3"/>
        <v>0</v>
      </c>
      <c r="O35" s="10" t="e">
        <f t="shared" si="4"/>
        <v>#DIV/0!</v>
      </c>
      <c r="P35" s="12" t="e">
        <f t="shared" si="5"/>
        <v>#DIV/0!</v>
      </c>
      <c r="Q35" s="13" t="e">
        <f t="shared" si="6"/>
        <v>#DIV/0!</v>
      </c>
      <c r="R35" s="12" t="e">
        <f t="shared" si="7"/>
        <v>#DIV/0!</v>
      </c>
      <c r="S35" s="13" t="e">
        <f t="shared" si="8"/>
        <v>#DIV/0!</v>
      </c>
      <c r="T35" s="12" t="e">
        <f t="shared" si="9"/>
        <v>#DIV/0!</v>
      </c>
      <c r="U35" s="12" t="e">
        <f t="shared" si="10"/>
        <v>#DIV/0!</v>
      </c>
    </row>
    <row r="36" spans="1:21" x14ac:dyDescent="0.25">
      <c r="A36" t="s">
        <v>340</v>
      </c>
      <c r="B36" s="1">
        <v>550</v>
      </c>
      <c r="E36" s="5"/>
      <c r="F36" s="1"/>
      <c r="G36" s="1"/>
      <c r="H36" s="1"/>
      <c r="I36" s="1"/>
      <c r="J36" s="1"/>
      <c r="O36" s="10"/>
      <c r="P36" s="12"/>
      <c r="Q36" s="13"/>
      <c r="R36" s="12"/>
      <c r="S36" s="13"/>
      <c r="T36" s="12"/>
      <c r="U36" s="12"/>
    </row>
    <row r="37" spans="1:21" x14ac:dyDescent="0.25">
      <c r="A37" t="s">
        <v>341</v>
      </c>
      <c r="B37" s="1">
        <v>950</v>
      </c>
      <c r="E37" s="5"/>
      <c r="F37" s="1"/>
      <c r="G37" s="1"/>
      <c r="H37" s="1"/>
      <c r="I37" s="1"/>
      <c r="J37" s="1"/>
      <c r="O37" s="10"/>
      <c r="P37" s="12"/>
      <c r="Q37" s="13"/>
      <c r="R37" s="12"/>
      <c r="S37" s="13"/>
      <c r="T37" s="12"/>
      <c r="U37" s="12"/>
    </row>
    <row r="38" spans="1:21" x14ac:dyDescent="0.25">
      <c r="E38" s="5"/>
      <c r="F38" s="1"/>
      <c r="G38" s="1"/>
      <c r="H38" s="1"/>
      <c r="I38" s="1"/>
      <c r="J38" s="1"/>
      <c r="O38" s="10"/>
      <c r="P38" s="12"/>
      <c r="Q38" s="13"/>
      <c r="R38" s="12"/>
      <c r="S38" s="13"/>
      <c r="T38" s="12"/>
      <c r="U38" s="12"/>
    </row>
    <row r="39" spans="1:21" x14ac:dyDescent="0.25">
      <c r="E39" s="5"/>
      <c r="F39" s="1"/>
      <c r="G39" s="1"/>
      <c r="H39" s="1"/>
      <c r="I39" s="1"/>
      <c r="J39" s="1"/>
      <c r="O39" s="10"/>
      <c r="P39" s="12"/>
      <c r="Q39" s="13"/>
      <c r="R39" s="12"/>
      <c r="S39" s="13"/>
      <c r="T39" s="12"/>
      <c r="U39" s="12"/>
    </row>
    <row r="40" spans="1:21" x14ac:dyDescent="0.25">
      <c r="E40" s="5" t="s">
        <v>69</v>
      </c>
      <c r="F40" s="1">
        <v>0</v>
      </c>
      <c r="G40" s="1">
        <f>16*B23</f>
        <v>144</v>
      </c>
      <c r="H40" s="1">
        <f>B22</f>
        <v>40</v>
      </c>
      <c r="I40" s="1">
        <f t="shared" si="0"/>
        <v>-104</v>
      </c>
      <c r="J40" s="1">
        <v>1440</v>
      </c>
      <c r="K40" s="2">
        <f t="shared" si="1"/>
        <v>-0.26</v>
      </c>
      <c r="M40">
        <f t="shared" si="2"/>
        <v>80</v>
      </c>
      <c r="N40">
        <f t="shared" si="3"/>
        <v>-64</v>
      </c>
      <c r="O40" s="10">
        <f t="shared" si="4"/>
        <v>-0.16</v>
      </c>
      <c r="P40" s="12">
        <f t="shared" si="5"/>
        <v>0.1</v>
      </c>
      <c r="Q40" s="13">
        <f t="shared" si="6"/>
        <v>0.9</v>
      </c>
      <c r="R40" s="12">
        <f t="shared" si="7"/>
        <v>1.8</v>
      </c>
      <c r="S40" s="13">
        <f t="shared" si="8"/>
        <v>2.7</v>
      </c>
      <c r="T40" s="12">
        <f t="shared" si="9"/>
        <v>3.6</v>
      </c>
      <c r="U40" s="12">
        <f t="shared" si="10"/>
        <v>4.5</v>
      </c>
    </row>
    <row r="41" spans="1:21" x14ac:dyDescent="0.25">
      <c r="A41" t="s">
        <v>235</v>
      </c>
      <c r="B41">
        <f>((B18*20)+(B7*40))/1000</f>
        <v>0.92</v>
      </c>
      <c r="E41" s="5" t="s">
        <v>70</v>
      </c>
      <c r="F41" s="1">
        <v>0</v>
      </c>
      <c r="G41" s="1">
        <f>2*B21+16*B12</f>
        <v>580</v>
      </c>
      <c r="H41" s="1">
        <f>B33</f>
        <v>300</v>
      </c>
      <c r="I41" s="1">
        <f t="shared" si="0"/>
        <v>-280</v>
      </c>
      <c r="J41" s="1">
        <v>1440</v>
      </c>
      <c r="K41" s="2">
        <f t="shared" si="1"/>
        <v>-0.7</v>
      </c>
      <c r="M41">
        <f t="shared" si="2"/>
        <v>600</v>
      </c>
      <c r="N41">
        <f t="shared" si="3"/>
        <v>20</v>
      </c>
      <c r="O41" s="10">
        <f>(N41*60*60)/(J41*1000)</f>
        <v>0.05</v>
      </c>
      <c r="P41" s="12">
        <f t="shared" si="5"/>
        <v>0.75</v>
      </c>
      <c r="Q41" s="13">
        <f t="shared" si="6"/>
        <v>6.75</v>
      </c>
      <c r="R41" s="12">
        <f t="shared" si="7"/>
        <v>13.5</v>
      </c>
      <c r="S41" s="14">
        <f t="shared" si="8"/>
        <v>20.25</v>
      </c>
      <c r="T41" s="12">
        <f t="shared" si="9"/>
        <v>27</v>
      </c>
      <c r="U41" s="12">
        <f t="shared" si="10"/>
        <v>33.75</v>
      </c>
    </row>
    <row r="42" spans="1:21" x14ac:dyDescent="0.25">
      <c r="A42" t="s">
        <v>72</v>
      </c>
      <c r="B42">
        <f>(B7*120/1000)+(B18*60/1000)+(B31*20/1000)</f>
        <v>3.96</v>
      </c>
      <c r="E42" s="5" t="s">
        <v>71</v>
      </c>
      <c r="F42" s="1">
        <v>0</v>
      </c>
      <c r="G42" s="1">
        <f>2*B25+6*B12</f>
        <v>280</v>
      </c>
      <c r="H42" s="1">
        <f>B21</f>
        <v>250</v>
      </c>
      <c r="I42" s="1">
        <f t="shared" si="0"/>
        <v>-30</v>
      </c>
      <c r="J42" s="1">
        <v>720</v>
      </c>
      <c r="K42" s="2">
        <f t="shared" si="1"/>
        <v>-0.15</v>
      </c>
      <c r="M42">
        <f t="shared" si="2"/>
        <v>500</v>
      </c>
      <c r="N42">
        <f t="shared" si="3"/>
        <v>220</v>
      </c>
      <c r="O42" s="10">
        <f t="shared" si="4"/>
        <v>1.1000000000000001</v>
      </c>
      <c r="P42" s="12">
        <f t="shared" si="5"/>
        <v>1.25</v>
      </c>
      <c r="Q42" s="13">
        <f t="shared" si="6"/>
        <v>11.25</v>
      </c>
      <c r="R42" s="12">
        <f t="shared" si="7"/>
        <v>22.5</v>
      </c>
      <c r="S42" s="14">
        <f t="shared" si="8"/>
        <v>33.75</v>
      </c>
      <c r="T42" s="12">
        <f t="shared" si="9"/>
        <v>45</v>
      </c>
      <c r="U42" s="12">
        <f t="shared" si="10"/>
        <v>56.25</v>
      </c>
    </row>
    <row r="43" spans="1:21" x14ac:dyDescent="0.25">
      <c r="F43" s="1"/>
      <c r="G43" s="1"/>
      <c r="H43" s="1"/>
      <c r="I43" s="1"/>
      <c r="J43" s="1"/>
      <c r="K43" s="2"/>
    </row>
    <row r="44" spans="1:21" x14ac:dyDescent="0.25">
      <c r="A44" t="s">
        <v>191</v>
      </c>
      <c r="B44">
        <v>915</v>
      </c>
      <c r="F44" s="1"/>
      <c r="G44" s="1"/>
      <c r="H44" s="1"/>
      <c r="I44" s="1"/>
      <c r="J44" s="1"/>
      <c r="K44" s="2"/>
    </row>
    <row r="45" spans="1:21" x14ac:dyDescent="0.25">
      <c r="A45" t="s">
        <v>192</v>
      </c>
      <c r="B45">
        <v>875</v>
      </c>
      <c r="F45" s="1"/>
      <c r="G45" s="1"/>
      <c r="H45" s="1"/>
      <c r="I45" s="1"/>
      <c r="J45" s="1"/>
      <c r="K45" s="2"/>
    </row>
    <row r="46" spans="1:21" x14ac:dyDescent="0.25">
      <c r="A46" t="s">
        <v>213</v>
      </c>
      <c r="B46">
        <v>218</v>
      </c>
      <c r="F46" s="1"/>
      <c r="G46" s="1"/>
      <c r="H46" s="1"/>
      <c r="I46" s="1"/>
      <c r="J46" s="1"/>
      <c r="K46" s="2"/>
    </row>
    <row r="47" spans="1:21" x14ac:dyDescent="0.25">
      <c r="A47" t="s">
        <v>194</v>
      </c>
      <c r="B47">
        <v>436</v>
      </c>
      <c r="F47" s="1"/>
      <c r="G47" s="1"/>
      <c r="H47" s="1"/>
      <c r="I47" s="1"/>
      <c r="J47" s="1"/>
      <c r="K47" s="2"/>
    </row>
    <row r="48" spans="1:21" x14ac:dyDescent="0.25">
      <c r="A48" t="s">
        <v>193</v>
      </c>
      <c r="B48">
        <v>145</v>
      </c>
      <c r="E48" t="s">
        <v>78</v>
      </c>
      <c r="F48" s="1"/>
      <c r="G48" s="1"/>
      <c r="H48" s="1"/>
      <c r="I48" s="1"/>
      <c r="J48" s="1"/>
    </row>
    <row r="49" spans="1:16" x14ac:dyDescent="0.25">
      <c r="A49" t="s">
        <v>195</v>
      </c>
      <c r="B49">
        <v>72</v>
      </c>
      <c r="F49" s="1"/>
      <c r="G49" s="1"/>
      <c r="H49" s="1"/>
      <c r="I49" s="1"/>
      <c r="J49" s="1"/>
    </row>
    <row r="50" spans="1:16" x14ac:dyDescent="0.25">
      <c r="E50" t="s">
        <v>74</v>
      </c>
      <c r="F50" s="2">
        <f>F26</f>
        <v>18.035714285714285</v>
      </c>
      <c r="G50" s="2">
        <f>H26</f>
        <v>70</v>
      </c>
      <c r="H50" s="2">
        <f>G50-F50</f>
        <v>51.964285714285715</v>
      </c>
      <c r="I50" s="1">
        <f>G50*2</f>
        <v>140</v>
      </c>
      <c r="J50" s="2">
        <f>I50-F50</f>
        <v>121.96428571428572</v>
      </c>
      <c r="L50" t="s">
        <v>200</v>
      </c>
      <c r="N50">
        <f>B17*1.5+B30*1.4+B26*1.4</f>
        <v>106.5</v>
      </c>
    </row>
    <row r="51" spans="1:16" x14ac:dyDescent="0.25">
      <c r="E51" t="s">
        <v>75</v>
      </c>
      <c r="F51" s="2">
        <f>(F26+B17*0.15)*2</f>
        <v>44.771428571428572</v>
      </c>
      <c r="G51" s="2">
        <f>H26*2</f>
        <v>140</v>
      </c>
      <c r="H51" s="2">
        <f t="shared" ref="H51:H59" si="11">G51-F51</f>
        <v>95.228571428571428</v>
      </c>
      <c r="I51" s="1">
        <f t="shared" ref="I51:I59" si="12">G51*2</f>
        <v>280</v>
      </c>
      <c r="J51" s="2">
        <f t="shared" ref="J51:J59" si="13">I51-F51</f>
        <v>235.22857142857143</v>
      </c>
      <c r="L51" t="s">
        <v>201</v>
      </c>
    </row>
    <row r="52" spans="1:16" x14ac:dyDescent="0.25">
      <c r="A52" t="s">
        <v>33</v>
      </c>
      <c r="B52">
        <v>1464</v>
      </c>
      <c r="E52" t="s">
        <v>76</v>
      </c>
      <c r="F52" s="2">
        <f>(F26+B17*0.45)*3</f>
        <v>93.257142857142853</v>
      </c>
      <c r="G52" s="1">
        <f>H26*3</f>
        <v>210</v>
      </c>
      <c r="H52" s="2">
        <f t="shared" si="11"/>
        <v>116.74285714285715</v>
      </c>
      <c r="I52" s="1">
        <f t="shared" si="12"/>
        <v>420</v>
      </c>
      <c r="J52" s="2">
        <f t="shared" si="13"/>
        <v>326.74285714285713</v>
      </c>
      <c r="L52" t="s">
        <v>217</v>
      </c>
    </row>
    <row r="53" spans="1:16" x14ac:dyDescent="0.25">
      <c r="B53">
        <f>72*60*60</f>
        <v>259200</v>
      </c>
      <c r="F53" s="1"/>
      <c r="G53" s="1"/>
      <c r="H53" s="2"/>
      <c r="I53" s="1"/>
      <c r="J53" s="2"/>
      <c r="L53" t="s">
        <v>214</v>
      </c>
    </row>
    <row r="54" spans="1:16" x14ac:dyDescent="0.25">
      <c r="B54">
        <f>B53/B52</f>
        <v>177.04918032786884</v>
      </c>
      <c r="F54" s="1"/>
      <c r="G54" s="1"/>
      <c r="H54" s="2"/>
      <c r="I54" s="1"/>
      <c r="J54" s="2"/>
      <c r="L54" t="s">
        <v>215</v>
      </c>
    </row>
    <row r="55" spans="1:16" x14ac:dyDescent="0.25">
      <c r="B55">
        <f>B54*5</f>
        <v>885.2459016393442</v>
      </c>
      <c r="E55" t="s">
        <v>79</v>
      </c>
      <c r="F55" s="1"/>
      <c r="G55" s="1"/>
      <c r="H55" s="2"/>
      <c r="I55" s="1"/>
      <c r="J55" s="2"/>
      <c r="L55" t="s">
        <v>216</v>
      </c>
    </row>
    <row r="56" spans="1:16" x14ac:dyDescent="0.25">
      <c r="F56" s="1"/>
      <c r="G56" s="1"/>
      <c r="H56" s="2"/>
      <c r="I56" s="1"/>
      <c r="J56" s="2"/>
      <c r="L56" t="s">
        <v>218</v>
      </c>
    </row>
    <row r="57" spans="1:16" x14ac:dyDescent="0.25">
      <c r="A57" t="s">
        <v>334</v>
      </c>
      <c r="B57">
        <f>(25*B18)/1000</f>
        <v>0.75</v>
      </c>
      <c r="E57" t="s">
        <v>74</v>
      </c>
      <c r="F57" s="4">
        <f>F9</f>
        <v>0.98571428571428565</v>
      </c>
      <c r="G57">
        <f>H9</f>
        <v>28</v>
      </c>
      <c r="H57" s="2">
        <f t="shared" si="11"/>
        <v>27.014285714285716</v>
      </c>
      <c r="I57" s="1">
        <f t="shared" si="12"/>
        <v>56</v>
      </c>
      <c r="J57" s="2">
        <f t="shared" si="13"/>
        <v>55.014285714285712</v>
      </c>
    </row>
    <row r="58" spans="1:16" x14ac:dyDescent="0.25">
      <c r="A58" t="s">
        <v>335</v>
      </c>
      <c r="B58">
        <f>B57+((5*B10)/1000)+((10*B19)/1000)</f>
        <v>1.17</v>
      </c>
      <c r="E58" t="s">
        <v>75</v>
      </c>
      <c r="F58" s="4">
        <f>(F9+B17*0.05)*2</f>
        <v>4.8714285714285719</v>
      </c>
      <c r="G58">
        <f>H9*2</f>
        <v>56</v>
      </c>
      <c r="H58" s="2">
        <f t="shared" si="11"/>
        <v>51.128571428571426</v>
      </c>
      <c r="I58" s="1">
        <f t="shared" si="12"/>
        <v>112</v>
      </c>
      <c r="J58" s="2">
        <f t="shared" si="13"/>
        <v>107.12857142857143</v>
      </c>
    </row>
    <row r="59" spans="1:16" x14ac:dyDescent="0.25">
      <c r="A59" t="s">
        <v>337</v>
      </c>
      <c r="B59">
        <f>B57+((10*B10)/1000)+((10*B34)/1000)</f>
        <v>2.15</v>
      </c>
      <c r="E59" t="s">
        <v>76</v>
      </c>
      <c r="F59" s="4">
        <f>(F9+B17*0.2)*3</f>
        <v>20.357142857142861</v>
      </c>
      <c r="G59">
        <f>H9*3</f>
        <v>84</v>
      </c>
      <c r="H59" s="2">
        <f t="shared" si="11"/>
        <v>63.642857142857139</v>
      </c>
      <c r="I59" s="1">
        <f t="shared" si="12"/>
        <v>168</v>
      </c>
      <c r="J59" s="2">
        <f t="shared" si="13"/>
        <v>147.64285714285714</v>
      </c>
      <c r="L59" t="s">
        <v>219</v>
      </c>
    </row>
    <row r="60" spans="1:16" x14ac:dyDescent="0.25">
      <c r="A60" t="s">
        <v>338</v>
      </c>
      <c r="B60">
        <f>B57+((15*B10)/1000)+((10*B33)/1000)</f>
        <v>4.05</v>
      </c>
      <c r="L60" t="s">
        <v>220</v>
      </c>
    </row>
    <row r="61" spans="1:16" x14ac:dyDescent="0.25">
      <c r="A61" t="s">
        <v>339</v>
      </c>
      <c r="B61">
        <f>B57+((50*B10)/1000)+((10*B37)/1000)</f>
        <v>11.25</v>
      </c>
      <c r="L61" t="s">
        <v>221</v>
      </c>
    </row>
    <row r="62" spans="1:16" x14ac:dyDescent="0.25">
      <c r="A62" t="s">
        <v>342</v>
      </c>
      <c r="B62">
        <f>B57+((30*B10)/1000)+((40*B24)/1000)</f>
        <v>2.5499999999999998</v>
      </c>
      <c r="E62" t="s">
        <v>270</v>
      </c>
      <c r="H62" t="s">
        <v>276</v>
      </c>
      <c r="I62" t="s">
        <v>277</v>
      </c>
      <c r="J62" t="s">
        <v>278</v>
      </c>
      <c r="L62" t="s">
        <v>222</v>
      </c>
      <c r="P62">
        <f>48*B42</f>
        <v>190.07999999999998</v>
      </c>
    </row>
    <row r="63" spans="1:16" x14ac:dyDescent="0.25">
      <c r="A63" t="s">
        <v>343</v>
      </c>
      <c r="B63">
        <f>B57+((10*B10)/1000)+((10*B9)/1000)</f>
        <v>1.2999999999999998</v>
      </c>
      <c r="D63">
        <v>10</v>
      </c>
      <c r="E63">
        <f>F63/D63</f>
        <v>3.3</v>
      </c>
      <c r="F63">
        <f>((H63*$B$26)+(I63*$B$13)+(J63*$B$14))/1000</f>
        <v>33</v>
      </c>
      <c r="G63" t="s">
        <v>229</v>
      </c>
      <c r="H63">
        <v>600</v>
      </c>
      <c r="I63">
        <v>600</v>
      </c>
      <c r="J63">
        <v>2000</v>
      </c>
      <c r="L63" t="s">
        <v>227</v>
      </c>
      <c r="P63">
        <f>24*B42</f>
        <v>95.039999999999992</v>
      </c>
    </row>
    <row r="64" spans="1:16" x14ac:dyDescent="0.25">
      <c r="A64" t="s">
        <v>344</v>
      </c>
      <c r="B64">
        <f>B57+((20*B10)/1000)+((10*B22)/1000)</f>
        <v>1.5499999999999998</v>
      </c>
      <c r="D64">
        <v>20</v>
      </c>
      <c r="E64">
        <f t="shared" ref="E64:E68" si="14">F64/D64</f>
        <v>3.3</v>
      </c>
      <c r="F64">
        <f t="shared" ref="F64:F68" si="15">((H64*$B$26)+(I64*$B$13)+(J64*$B$14))/1000</f>
        <v>66</v>
      </c>
      <c r="G64" t="s">
        <v>230</v>
      </c>
      <c r="H64">
        <v>1200</v>
      </c>
      <c r="I64">
        <v>1200</v>
      </c>
      <c r="J64">
        <v>4000</v>
      </c>
      <c r="L64" t="s">
        <v>223</v>
      </c>
      <c r="P64">
        <f>16*B42</f>
        <v>63.36</v>
      </c>
    </row>
    <row r="65" spans="1:20" x14ac:dyDescent="0.25">
      <c r="D65">
        <v>30</v>
      </c>
      <c r="E65">
        <f t="shared" si="14"/>
        <v>6.6</v>
      </c>
      <c r="F65">
        <f t="shared" si="15"/>
        <v>198</v>
      </c>
      <c r="G65" t="s">
        <v>231</v>
      </c>
      <c r="H65">
        <v>3600</v>
      </c>
      <c r="I65">
        <v>3600</v>
      </c>
      <c r="J65">
        <v>12000</v>
      </c>
      <c r="L65" t="s">
        <v>224</v>
      </c>
      <c r="P65">
        <f>12*B42</f>
        <v>47.519999999999996</v>
      </c>
    </row>
    <row r="66" spans="1:20" x14ac:dyDescent="0.25">
      <c r="D66">
        <v>40</v>
      </c>
      <c r="E66">
        <f t="shared" si="14"/>
        <v>19.8</v>
      </c>
      <c r="F66">
        <f t="shared" si="15"/>
        <v>792</v>
      </c>
      <c r="G66" t="s">
        <v>232</v>
      </c>
      <c r="H66">
        <v>14400</v>
      </c>
      <c r="I66">
        <v>14400</v>
      </c>
      <c r="J66">
        <v>48000</v>
      </c>
      <c r="L66" t="s">
        <v>225</v>
      </c>
      <c r="P66">
        <f>10*B42</f>
        <v>39.6</v>
      </c>
    </row>
    <row r="67" spans="1:20" x14ac:dyDescent="0.25">
      <c r="D67">
        <v>50</v>
      </c>
      <c r="E67">
        <f t="shared" si="14"/>
        <v>79.2</v>
      </c>
      <c r="F67">
        <f t="shared" si="15"/>
        <v>3960</v>
      </c>
      <c r="G67" t="s">
        <v>233</v>
      </c>
      <c r="H67">
        <v>72000</v>
      </c>
      <c r="I67">
        <v>72000</v>
      </c>
      <c r="J67">
        <v>240000</v>
      </c>
    </row>
    <row r="68" spans="1:20" x14ac:dyDescent="0.25">
      <c r="D68">
        <v>60</v>
      </c>
      <c r="E68">
        <f t="shared" si="14"/>
        <v>396</v>
      </c>
      <c r="F68">
        <f t="shared" si="15"/>
        <v>23760</v>
      </c>
      <c r="G68" t="s">
        <v>271</v>
      </c>
      <c r="H68">
        <v>432000</v>
      </c>
      <c r="I68">
        <v>432000</v>
      </c>
      <c r="J68">
        <v>1440000</v>
      </c>
      <c r="L68" t="s">
        <v>226</v>
      </c>
    </row>
    <row r="69" spans="1:20" x14ac:dyDescent="0.25">
      <c r="A69" t="s">
        <v>352</v>
      </c>
      <c r="G69" t="s">
        <v>272</v>
      </c>
      <c r="L69">
        <f>4*B12</f>
        <v>20</v>
      </c>
    </row>
    <row r="70" spans="1:20" x14ac:dyDescent="0.25">
      <c r="A70" t="s">
        <v>353</v>
      </c>
      <c r="G70" t="s">
        <v>273</v>
      </c>
      <c r="H70">
        <f>H63+H64+H65+H66</f>
        <v>19800</v>
      </c>
      <c r="I70">
        <f t="shared" ref="I70:J70" si="16">I63+I64+I65+I66</f>
        <v>19800</v>
      </c>
      <c r="J70">
        <f t="shared" si="16"/>
        <v>66000</v>
      </c>
      <c r="K70" t="s">
        <v>279</v>
      </c>
    </row>
    <row r="71" spans="1:20" x14ac:dyDescent="0.25">
      <c r="G71" t="s">
        <v>274</v>
      </c>
      <c r="L71" t="s">
        <v>228</v>
      </c>
    </row>
    <row r="72" spans="1:20" x14ac:dyDescent="0.25">
      <c r="B72">
        <v>632</v>
      </c>
      <c r="G72" t="s">
        <v>275</v>
      </c>
      <c r="L72" t="s">
        <v>229</v>
      </c>
      <c r="M72">
        <f>500-350-$L$69-P62</f>
        <v>-60.079999999999984</v>
      </c>
    </row>
    <row r="73" spans="1:20" x14ac:dyDescent="0.25">
      <c r="A73" t="s">
        <v>354</v>
      </c>
      <c r="L73" t="s">
        <v>230</v>
      </c>
      <c r="M73">
        <f t="shared" ref="M73:M76" si="17">500-350-$L$69-P63</f>
        <v>34.960000000000008</v>
      </c>
    </row>
    <row r="74" spans="1:20" x14ac:dyDescent="0.25">
      <c r="A74" t="s">
        <v>355</v>
      </c>
      <c r="L74" t="s">
        <v>231</v>
      </c>
      <c r="M74">
        <f t="shared" si="17"/>
        <v>66.64</v>
      </c>
    </row>
    <row r="75" spans="1:20" x14ac:dyDescent="0.25">
      <c r="A75" t="s">
        <v>356</v>
      </c>
      <c r="L75" t="s">
        <v>232</v>
      </c>
      <c r="M75">
        <f t="shared" si="17"/>
        <v>82.48</v>
      </c>
      <c r="P75" s="20" t="s">
        <v>234</v>
      </c>
      <c r="Q75" s="21"/>
      <c r="R75" s="21"/>
      <c r="S75" s="21"/>
      <c r="T75" s="21"/>
    </row>
    <row r="76" spans="1:20" x14ac:dyDescent="0.25">
      <c r="A76" t="s">
        <v>357</v>
      </c>
      <c r="L76" t="s">
        <v>233</v>
      </c>
      <c r="M76">
        <f t="shared" si="17"/>
        <v>90.4</v>
      </c>
      <c r="P76" s="21"/>
      <c r="Q76" s="21"/>
      <c r="R76" s="21"/>
      <c r="S76" s="21"/>
      <c r="T76" s="21"/>
    </row>
    <row r="77" spans="1:20" x14ac:dyDescent="0.25">
      <c r="A77" t="s">
        <v>358</v>
      </c>
      <c r="P77" s="21"/>
      <c r="Q77" s="21"/>
      <c r="R77" s="21"/>
      <c r="S77" s="21"/>
      <c r="T77" s="21"/>
    </row>
    <row r="78" spans="1:20" x14ac:dyDescent="0.25">
      <c r="A78" t="s">
        <v>359</v>
      </c>
      <c r="E78" t="s">
        <v>292</v>
      </c>
      <c r="P78" s="21"/>
      <c r="Q78" s="21"/>
      <c r="R78" s="21"/>
      <c r="S78" s="21"/>
      <c r="T78" s="21"/>
    </row>
    <row r="80" spans="1:20" x14ac:dyDescent="0.25">
      <c r="A80" t="s">
        <v>378</v>
      </c>
      <c r="D80" t="s">
        <v>293</v>
      </c>
      <c r="E80" t="s">
        <v>303</v>
      </c>
      <c r="F80">
        <f>6*800</f>
        <v>4800</v>
      </c>
    </row>
    <row r="81" spans="5:7" x14ac:dyDescent="0.25">
      <c r="E81" t="s">
        <v>294</v>
      </c>
      <c r="F81">
        <f>F80*1.75</f>
        <v>8400</v>
      </c>
    </row>
    <row r="82" spans="5:7" x14ac:dyDescent="0.25">
      <c r="E82" t="s">
        <v>295</v>
      </c>
      <c r="F82" t="s">
        <v>296</v>
      </c>
      <c r="G82" t="s">
        <v>297</v>
      </c>
    </row>
    <row r="83" spans="5:7" x14ac:dyDescent="0.25">
      <c r="E83" t="s">
        <v>298</v>
      </c>
      <c r="F83">
        <v>216</v>
      </c>
    </row>
    <row r="84" spans="5:7" x14ac:dyDescent="0.25">
      <c r="E84" t="s">
        <v>299</v>
      </c>
      <c r="F84">
        <f>F81/F83</f>
        <v>38.888888888888886</v>
      </c>
      <c r="G84" t="s">
        <v>304</v>
      </c>
    </row>
    <row r="85" spans="5:7" x14ac:dyDescent="0.25">
      <c r="E85" t="s">
        <v>300</v>
      </c>
      <c r="F85">
        <v>8</v>
      </c>
    </row>
    <row r="86" spans="5:7" x14ac:dyDescent="0.25">
      <c r="E86" t="s">
        <v>301</v>
      </c>
      <c r="F86">
        <f>F85*1.75</f>
        <v>14</v>
      </c>
    </row>
    <row r="87" spans="5:7" x14ac:dyDescent="0.25">
      <c r="E87" t="s">
        <v>305</v>
      </c>
    </row>
    <row r="88" spans="5:7" x14ac:dyDescent="0.25">
      <c r="E88" t="s">
        <v>302</v>
      </c>
    </row>
    <row r="103" spans="4:12" x14ac:dyDescent="0.25">
      <c r="E103" t="s">
        <v>270</v>
      </c>
      <c r="H103" t="s">
        <v>276</v>
      </c>
      <c r="I103" t="s">
        <v>277</v>
      </c>
      <c r="J103" t="s">
        <v>278</v>
      </c>
    </row>
    <row r="104" spans="4:12" x14ac:dyDescent="0.25">
      <c r="D104">
        <v>10</v>
      </c>
      <c r="E104" t="s">
        <v>333</v>
      </c>
      <c r="G104" t="s">
        <v>306</v>
      </c>
      <c r="H104">
        <v>1000</v>
      </c>
      <c r="I104">
        <v>1500</v>
      </c>
      <c r="J104">
        <v>2000</v>
      </c>
      <c r="L104" t="s">
        <v>308</v>
      </c>
    </row>
    <row r="105" spans="4:12" x14ac:dyDescent="0.25">
      <c r="E105">
        <f>((H105*$B$26)+(I105*$B$13)+(J105*$B$14))/1000</f>
        <v>11.7</v>
      </c>
      <c r="F105">
        <f>E105/D104</f>
        <v>1.17</v>
      </c>
      <c r="G105" t="s">
        <v>307</v>
      </c>
      <c r="H105">
        <f>H104/5</f>
        <v>200</v>
      </c>
      <c r="I105">
        <f t="shared" ref="I105:J105" si="18">I104/5</f>
        <v>300</v>
      </c>
      <c r="J105">
        <f t="shared" si="18"/>
        <v>400</v>
      </c>
      <c r="L105" t="s">
        <v>309</v>
      </c>
    </row>
    <row r="106" spans="4:12" x14ac:dyDescent="0.25">
      <c r="D106">
        <v>20</v>
      </c>
      <c r="G106" t="s">
        <v>311</v>
      </c>
      <c r="H106">
        <v>1500</v>
      </c>
      <c r="I106">
        <v>2250</v>
      </c>
      <c r="J106">
        <v>3000</v>
      </c>
      <c r="L106" t="s">
        <v>310</v>
      </c>
    </row>
    <row r="107" spans="4:12" x14ac:dyDescent="0.25">
      <c r="E107">
        <f t="shared" ref="E107:E113" si="19">((H107*$B$26)+(I107*$B$13)+(J107*$B$14))/1000</f>
        <v>17.55</v>
      </c>
      <c r="F107">
        <f>E107/D106</f>
        <v>0.87750000000000006</v>
      </c>
      <c r="G107" t="s">
        <v>312</v>
      </c>
      <c r="H107">
        <f>H106/5</f>
        <v>300</v>
      </c>
      <c r="I107">
        <f t="shared" ref="I107:J107" si="20">I106/5</f>
        <v>450</v>
      </c>
      <c r="J107">
        <f t="shared" si="20"/>
        <v>600</v>
      </c>
    </row>
    <row r="108" spans="4:12" x14ac:dyDescent="0.25">
      <c r="D108">
        <v>30</v>
      </c>
      <c r="G108" t="s">
        <v>313</v>
      </c>
      <c r="H108">
        <v>3000</v>
      </c>
      <c r="I108">
        <v>4500</v>
      </c>
      <c r="J108">
        <v>6000</v>
      </c>
    </row>
    <row r="109" spans="4:12" x14ac:dyDescent="0.25">
      <c r="E109">
        <f t="shared" si="19"/>
        <v>35.1</v>
      </c>
      <c r="F109">
        <f t="shared" ref="F109:F113" si="21">E109/D108</f>
        <v>1.1700000000000002</v>
      </c>
      <c r="G109" t="s">
        <v>314</v>
      </c>
      <c r="H109">
        <f>H108/5</f>
        <v>600</v>
      </c>
      <c r="I109">
        <f t="shared" ref="I109:J109" si="22">I108/5</f>
        <v>900</v>
      </c>
      <c r="J109">
        <f t="shared" si="22"/>
        <v>1200</v>
      </c>
    </row>
    <row r="110" spans="4:12" x14ac:dyDescent="0.25">
      <c r="D110">
        <v>40</v>
      </c>
      <c r="G110" t="s">
        <v>315</v>
      </c>
      <c r="H110" s="5">
        <v>12000</v>
      </c>
      <c r="I110" s="5">
        <v>18000</v>
      </c>
      <c r="J110" s="5">
        <v>24000</v>
      </c>
    </row>
    <row r="111" spans="4:12" x14ac:dyDescent="0.25">
      <c r="E111">
        <f t="shared" si="19"/>
        <v>140.4</v>
      </c>
      <c r="F111">
        <f t="shared" si="21"/>
        <v>3.5100000000000002</v>
      </c>
      <c r="G111" t="s">
        <v>316</v>
      </c>
      <c r="H111" s="5">
        <f>H110/5</f>
        <v>2400</v>
      </c>
      <c r="I111" s="5">
        <f t="shared" ref="I111:J111" si="23">I110/5</f>
        <v>3600</v>
      </c>
      <c r="J111" s="5">
        <f t="shared" si="23"/>
        <v>4800</v>
      </c>
    </row>
    <row r="112" spans="4:12" x14ac:dyDescent="0.25">
      <c r="D112">
        <v>50</v>
      </c>
      <c r="G112" t="s">
        <v>350</v>
      </c>
      <c r="H112">
        <v>60000</v>
      </c>
      <c r="I112">
        <v>90000</v>
      </c>
      <c r="J112">
        <v>120000</v>
      </c>
    </row>
    <row r="113" spans="4:10" x14ac:dyDescent="0.25">
      <c r="E113">
        <f t="shared" si="19"/>
        <v>702</v>
      </c>
      <c r="F113">
        <f t="shared" si="21"/>
        <v>14.04</v>
      </c>
      <c r="G113" t="s">
        <v>351</v>
      </c>
      <c r="H113">
        <f>H112/5</f>
        <v>12000</v>
      </c>
      <c r="I113">
        <f t="shared" ref="I113:J113" si="24">I112/5</f>
        <v>18000</v>
      </c>
      <c r="J113">
        <f t="shared" si="24"/>
        <v>24000</v>
      </c>
    </row>
    <row r="114" spans="4:10" x14ac:dyDescent="0.25">
      <c r="D114">
        <v>60</v>
      </c>
      <c r="G114" t="s">
        <v>271</v>
      </c>
    </row>
    <row r="115" spans="4:10" x14ac:dyDescent="0.25">
      <c r="G115" t="s">
        <v>272</v>
      </c>
    </row>
    <row r="116" spans="4:10" x14ac:dyDescent="0.25">
      <c r="G116" t="s">
        <v>273</v>
      </c>
    </row>
  </sheetData>
  <mergeCells count="1">
    <mergeCell ref="P75:T78"/>
  </mergeCells>
  <pageMargins left="0.7" right="0.7" top="0.75" bottom="0.75" header="0.3" footer="0.3"/>
  <pageSetup paperSize="9" orientation="portrait" verticalDpi="0" r:id="rId1"/>
  <ignoredErrors>
    <ignoredError sqref="H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opLeftCell="A22" workbookViewId="0">
      <selection activeCell="D67" sqref="D67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147</v>
      </c>
      <c r="D1" t="s">
        <v>210</v>
      </c>
    </row>
    <row r="4" spans="1:4" x14ac:dyDescent="0.25">
      <c r="A4" t="s">
        <v>126</v>
      </c>
    </row>
    <row r="5" spans="1:4" x14ac:dyDescent="0.25">
      <c r="A5" t="s">
        <v>127</v>
      </c>
    </row>
    <row r="6" spans="1:4" x14ac:dyDescent="0.25">
      <c r="A6" t="s">
        <v>102</v>
      </c>
    </row>
    <row r="9" spans="1:4" x14ac:dyDescent="0.25">
      <c r="A9" t="s">
        <v>128</v>
      </c>
    </row>
    <row r="10" spans="1:4" x14ac:dyDescent="0.25">
      <c r="A10" t="s">
        <v>148</v>
      </c>
    </row>
    <row r="11" spans="1:4" x14ac:dyDescent="0.25">
      <c r="A11" t="s">
        <v>149</v>
      </c>
    </row>
    <row r="14" spans="1:4" x14ac:dyDescent="0.25">
      <c r="A14" t="s">
        <v>129</v>
      </c>
    </row>
    <row r="15" spans="1:4" x14ac:dyDescent="0.25">
      <c r="A15" t="s">
        <v>145</v>
      </c>
    </row>
    <row r="16" spans="1:4" x14ac:dyDescent="0.25">
      <c r="A16" t="s">
        <v>150</v>
      </c>
    </row>
    <row r="19" spans="1:1" x14ac:dyDescent="0.25">
      <c r="A19" t="s">
        <v>131</v>
      </c>
    </row>
    <row r="20" spans="1:1" x14ac:dyDescent="0.25">
      <c r="A20" t="s">
        <v>151</v>
      </c>
    </row>
    <row r="21" spans="1:1" x14ac:dyDescent="0.25">
      <c r="A21" t="s">
        <v>152</v>
      </c>
    </row>
    <row r="24" spans="1:1" x14ac:dyDescent="0.25">
      <c r="A24" t="s">
        <v>161</v>
      </c>
    </row>
    <row r="25" spans="1:1" x14ac:dyDescent="0.25">
      <c r="A25" t="s">
        <v>153</v>
      </c>
    </row>
    <row r="26" spans="1:1" x14ac:dyDescent="0.25">
      <c r="A26" t="s">
        <v>127</v>
      </c>
    </row>
    <row r="27" spans="1:1" x14ac:dyDescent="0.25">
      <c r="A27" t="s">
        <v>154</v>
      </c>
    </row>
    <row r="30" spans="1:1" x14ac:dyDescent="0.25">
      <c r="A30" t="s">
        <v>135</v>
      </c>
    </row>
    <row r="31" spans="1:1" x14ac:dyDescent="0.25">
      <c r="A31" t="s">
        <v>212</v>
      </c>
    </row>
    <row r="32" spans="1:1" x14ac:dyDescent="0.25">
      <c r="A32" t="s">
        <v>155</v>
      </c>
    </row>
    <row r="35" spans="1:1" x14ac:dyDescent="0.25">
      <c r="A35" t="s">
        <v>114</v>
      </c>
    </row>
    <row r="36" spans="1:1" x14ac:dyDescent="0.25">
      <c r="A36" t="s">
        <v>156</v>
      </c>
    </row>
    <row r="37" spans="1:1" x14ac:dyDescent="0.25">
      <c r="A37" t="s">
        <v>157</v>
      </c>
    </row>
    <row r="40" spans="1:1" x14ac:dyDescent="0.25">
      <c r="A40" t="s">
        <v>118</v>
      </c>
    </row>
    <row r="41" spans="1:1" x14ac:dyDescent="0.25">
      <c r="A41" t="s">
        <v>158</v>
      </c>
    </row>
    <row r="42" spans="1:1" x14ac:dyDescent="0.25">
      <c r="A42" t="s">
        <v>93</v>
      </c>
    </row>
    <row r="45" spans="1:1" x14ac:dyDescent="0.25">
      <c r="A45" t="s">
        <v>136</v>
      </c>
    </row>
    <row r="46" spans="1:1" x14ac:dyDescent="0.25">
      <c r="A46" t="s">
        <v>159</v>
      </c>
    </row>
    <row r="47" spans="1:1" x14ac:dyDescent="0.25">
      <c r="A47" t="s">
        <v>160</v>
      </c>
    </row>
    <row r="50" spans="1:5" x14ac:dyDescent="0.25">
      <c r="A50" t="s">
        <v>99</v>
      </c>
    </row>
    <row r="52" spans="1:5" x14ac:dyDescent="0.25">
      <c r="A52" t="s">
        <v>100</v>
      </c>
      <c r="B52">
        <f>20+67+24+25+37+38+32+33</f>
        <v>276</v>
      </c>
    </row>
    <row r="55" spans="1:5" x14ac:dyDescent="0.25">
      <c r="A55" t="s">
        <v>166</v>
      </c>
    </row>
    <row r="57" spans="1:5" x14ac:dyDescent="0.25">
      <c r="A57" t="s">
        <v>162</v>
      </c>
      <c r="B57">
        <v>3600</v>
      </c>
    </row>
    <row r="58" spans="1:5" x14ac:dyDescent="0.25">
      <c r="A58" t="s">
        <v>163</v>
      </c>
      <c r="B58">
        <v>150</v>
      </c>
      <c r="C58" s="8">
        <v>0.33300000000000002</v>
      </c>
      <c r="D58" t="s">
        <v>167</v>
      </c>
      <c r="E58">
        <f>B58*C58+B59*C59</f>
        <v>108.4</v>
      </c>
    </row>
    <row r="59" spans="1:5" x14ac:dyDescent="0.25">
      <c r="A59" t="s">
        <v>164</v>
      </c>
      <c r="B59">
        <v>350</v>
      </c>
      <c r="C59" s="8">
        <v>0.16700000000000001</v>
      </c>
      <c r="D59" t="s">
        <v>173</v>
      </c>
      <c r="E59">
        <f>B57/B52</f>
        <v>13.043478260869565</v>
      </c>
    </row>
    <row r="60" spans="1:5" x14ac:dyDescent="0.25">
      <c r="A60" t="s">
        <v>165</v>
      </c>
      <c r="B60">
        <v>15</v>
      </c>
      <c r="C60" s="8">
        <v>0.23100000000000001</v>
      </c>
      <c r="D60" t="s">
        <v>172</v>
      </c>
      <c r="E60">
        <f>E58/B52</f>
        <v>0.39275362318840584</v>
      </c>
    </row>
    <row r="61" spans="1:5" x14ac:dyDescent="0.25">
      <c r="D61" t="s">
        <v>183</v>
      </c>
      <c r="E61">
        <f>B60*C60</f>
        <v>3.4650000000000003</v>
      </c>
    </row>
    <row r="62" spans="1:5" x14ac:dyDescent="0.25">
      <c r="D62" t="s">
        <v>189</v>
      </c>
      <c r="E62">
        <f>E61/B52</f>
        <v>1.2554347826086958E-2</v>
      </c>
    </row>
    <row r="63" spans="1:5" x14ac:dyDescent="0.25">
      <c r="D63" t="s">
        <v>190</v>
      </c>
      <c r="E63">
        <f>E62+E60*1.8</f>
        <v>0.71951086956521748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opLeftCell="A55" workbookViewId="0">
      <selection activeCell="A19" sqref="A19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205</v>
      </c>
      <c r="D1" t="s">
        <v>379</v>
      </c>
    </row>
    <row r="4" spans="1:4" x14ac:dyDescent="0.25">
      <c r="A4" s="16" t="s">
        <v>319</v>
      </c>
    </row>
    <row r="5" spans="1:4" x14ac:dyDescent="0.25">
      <c r="A5" t="s">
        <v>236</v>
      </c>
      <c r="D5" t="s">
        <v>238</v>
      </c>
    </row>
    <row r="6" spans="1:4" x14ac:dyDescent="0.25">
      <c r="A6" t="s">
        <v>428</v>
      </c>
    </row>
    <row r="7" spans="1:4" x14ac:dyDescent="0.25">
      <c r="A7" t="s">
        <v>130</v>
      </c>
    </row>
    <row r="10" spans="1:4" x14ac:dyDescent="0.25">
      <c r="A10" t="s">
        <v>237</v>
      </c>
    </row>
    <row r="11" spans="1:4" x14ac:dyDescent="0.25">
      <c r="A11" t="s">
        <v>429</v>
      </c>
    </row>
    <row r="12" spans="1:4" x14ac:dyDescent="0.25">
      <c r="A12" t="s">
        <v>430</v>
      </c>
    </row>
    <row r="13" spans="1:4" x14ac:dyDescent="0.25">
      <c r="A13" s="16" t="s">
        <v>318</v>
      </c>
    </row>
    <row r="16" spans="1:4" x14ac:dyDescent="0.25">
      <c r="A16" s="16" t="s">
        <v>320</v>
      </c>
    </row>
    <row r="17" spans="1:1" x14ac:dyDescent="0.25">
      <c r="A17" t="s">
        <v>207</v>
      </c>
    </row>
    <row r="18" spans="1:1" x14ac:dyDescent="0.25">
      <c r="A18" t="s">
        <v>431</v>
      </c>
    </row>
    <row r="19" spans="1:1" x14ac:dyDescent="0.25">
      <c r="A19" t="s">
        <v>125</v>
      </c>
    </row>
    <row r="22" spans="1:1" x14ac:dyDescent="0.25">
      <c r="A22" t="s">
        <v>317</v>
      </c>
    </row>
    <row r="23" spans="1:1" x14ac:dyDescent="0.25">
      <c r="A23" t="s">
        <v>248</v>
      </c>
    </row>
    <row r="25" spans="1:1" x14ac:dyDescent="0.25">
      <c r="A25" t="s">
        <v>432</v>
      </c>
    </row>
    <row r="26" spans="1:1" x14ac:dyDescent="0.25">
      <c r="A26" t="s">
        <v>149</v>
      </c>
    </row>
    <row r="27" spans="1:1" x14ac:dyDescent="0.25">
      <c r="A27" t="s">
        <v>433</v>
      </c>
    </row>
    <row r="28" spans="1:1" x14ac:dyDescent="0.25">
      <c r="A28" t="s">
        <v>434</v>
      </c>
    </row>
    <row r="31" spans="1:1" x14ac:dyDescent="0.25">
      <c r="A31" t="s">
        <v>325</v>
      </c>
    </row>
    <row r="32" spans="1:1" x14ac:dyDescent="0.25">
      <c r="A32" t="s">
        <v>435</v>
      </c>
    </row>
    <row r="33" spans="1:1" x14ac:dyDescent="0.25">
      <c r="A33" t="s">
        <v>436</v>
      </c>
    </row>
    <row r="34" spans="1:1" x14ac:dyDescent="0.25">
      <c r="A34" s="16" t="s">
        <v>318</v>
      </c>
    </row>
    <row r="37" spans="1:1" x14ac:dyDescent="0.25">
      <c r="A37" s="16" t="s">
        <v>321</v>
      </c>
    </row>
    <row r="38" spans="1:1" x14ac:dyDescent="0.25">
      <c r="A38" t="s">
        <v>206</v>
      </c>
    </row>
    <row r="39" spans="1:1" x14ac:dyDescent="0.25">
      <c r="A39" t="s">
        <v>437</v>
      </c>
    </row>
    <row r="40" spans="1:1" x14ac:dyDescent="0.25">
      <c r="A40" t="s">
        <v>243</v>
      </c>
    </row>
    <row r="43" spans="1:1" x14ac:dyDescent="0.25">
      <c r="A43" t="s">
        <v>324</v>
      </c>
    </row>
    <row r="44" spans="1:1" x14ac:dyDescent="0.25">
      <c r="A44" t="s">
        <v>247</v>
      </c>
    </row>
    <row r="46" spans="1:1" x14ac:dyDescent="0.25">
      <c r="A46" t="s">
        <v>438</v>
      </c>
    </row>
    <row r="47" spans="1:1" x14ac:dyDescent="0.25">
      <c r="A47" t="s">
        <v>439</v>
      </c>
    </row>
    <row r="48" spans="1:1" x14ac:dyDescent="0.25">
      <c r="A48" t="s">
        <v>440</v>
      </c>
    </row>
    <row r="49" spans="1:1" x14ac:dyDescent="0.25">
      <c r="A49" t="s">
        <v>102</v>
      </c>
    </row>
    <row r="52" spans="1:1" x14ac:dyDescent="0.25">
      <c r="A52" t="s">
        <v>325</v>
      </c>
    </row>
    <row r="53" spans="1:1" x14ac:dyDescent="0.25">
      <c r="A53" t="s">
        <v>441</v>
      </c>
    </row>
    <row r="54" spans="1:1" x14ac:dyDescent="0.25">
      <c r="A54" t="s">
        <v>442</v>
      </c>
    </row>
    <row r="55" spans="1:1" x14ac:dyDescent="0.25">
      <c r="A55" s="16" t="s">
        <v>318</v>
      </c>
    </row>
    <row r="58" spans="1:1" x14ac:dyDescent="0.25">
      <c r="A58" s="16" t="s">
        <v>322</v>
      </c>
    </row>
    <row r="59" spans="1:1" x14ac:dyDescent="0.25">
      <c r="A59" t="s">
        <v>239</v>
      </c>
    </row>
    <row r="60" spans="1:1" x14ac:dyDescent="0.25">
      <c r="A60" t="s">
        <v>134</v>
      </c>
    </row>
    <row r="61" spans="1:1" x14ac:dyDescent="0.25">
      <c r="A61" t="s">
        <v>240</v>
      </c>
    </row>
    <row r="64" spans="1:1" x14ac:dyDescent="0.25">
      <c r="A64" t="s">
        <v>241</v>
      </c>
    </row>
    <row r="65" spans="1:1" x14ac:dyDescent="0.25">
      <c r="A65" t="s">
        <v>242</v>
      </c>
    </row>
    <row r="66" spans="1:1" x14ac:dyDescent="0.25">
      <c r="A66" t="s">
        <v>102</v>
      </c>
    </row>
    <row r="69" spans="1:1" x14ac:dyDescent="0.25">
      <c r="A69" t="s">
        <v>443</v>
      </c>
    </row>
    <row r="70" spans="1:1" x14ac:dyDescent="0.25">
      <c r="A70" t="s">
        <v>444</v>
      </c>
    </row>
    <row r="71" spans="1:1" x14ac:dyDescent="0.25">
      <c r="A71" t="s">
        <v>445</v>
      </c>
    </row>
    <row r="72" spans="1:1" x14ac:dyDescent="0.25">
      <c r="A72" s="16" t="s">
        <v>318</v>
      </c>
    </row>
    <row r="75" spans="1:1" x14ac:dyDescent="0.25">
      <c r="A75" s="16" t="s">
        <v>323</v>
      </c>
    </row>
    <row r="76" spans="1:1" x14ac:dyDescent="0.25">
      <c r="A76" t="s">
        <v>326</v>
      </c>
    </row>
    <row r="77" spans="1:1" x14ac:dyDescent="0.25">
      <c r="A77" t="s">
        <v>244</v>
      </c>
    </row>
    <row r="78" spans="1:1" x14ac:dyDescent="0.25">
      <c r="A78" t="s">
        <v>134</v>
      </c>
    </row>
    <row r="79" spans="1:1" x14ac:dyDescent="0.25">
      <c r="A79" t="s">
        <v>132</v>
      </c>
    </row>
    <row r="82" spans="1:1" x14ac:dyDescent="0.25">
      <c r="A82" t="s">
        <v>245</v>
      </c>
    </row>
    <row r="83" spans="1:1" x14ac:dyDescent="0.25">
      <c r="A83" t="s">
        <v>242</v>
      </c>
    </row>
    <row r="84" spans="1:1" x14ac:dyDescent="0.25">
      <c r="A84" t="s">
        <v>102</v>
      </c>
    </row>
    <row r="87" spans="1:1" x14ac:dyDescent="0.25">
      <c r="A87" t="s">
        <v>246</v>
      </c>
    </row>
    <row r="88" spans="1:1" x14ac:dyDescent="0.25">
      <c r="A88" t="s">
        <v>446</v>
      </c>
    </row>
    <row r="89" spans="1:1" x14ac:dyDescent="0.25">
      <c r="A89" t="s">
        <v>442</v>
      </c>
    </row>
    <row r="92" spans="1:1" x14ac:dyDescent="0.25">
      <c r="A92" t="s">
        <v>327</v>
      </c>
    </row>
    <row r="93" spans="1:1" x14ac:dyDescent="0.25">
      <c r="A93" t="s">
        <v>447</v>
      </c>
    </row>
    <row r="94" spans="1:1" x14ac:dyDescent="0.25">
      <c r="A94" t="s">
        <v>377</v>
      </c>
    </row>
    <row r="95" spans="1:1" x14ac:dyDescent="0.25">
      <c r="A95" s="16" t="s">
        <v>318</v>
      </c>
    </row>
    <row r="98" spans="1:5" x14ac:dyDescent="0.25">
      <c r="A98" t="s">
        <v>99</v>
      </c>
    </row>
    <row r="100" spans="1:5" x14ac:dyDescent="0.25">
      <c r="A100" t="s">
        <v>100</v>
      </c>
      <c r="B100">
        <f>10+66+15+20+6+61+23+7+95+14+102+9+95+114</f>
        <v>637</v>
      </c>
    </row>
    <row r="103" spans="1:5" x14ac:dyDescent="0.25">
      <c r="A103" t="s">
        <v>166</v>
      </c>
    </row>
    <row r="105" spans="1:5" x14ac:dyDescent="0.25">
      <c r="A105" t="s">
        <v>162</v>
      </c>
      <c r="B105">
        <v>11870</v>
      </c>
    </row>
    <row r="106" spans="1:5" x14ac:dyDescent="0.25">
      <c r="A106" t="s">
        <v>163</v>
      </c>
      <c r="B106">
        <v>400</v>
      </c>
      <c r="C106" s="8">
        <v>0.33300000000000002</v>
      </c>
      <c r="D106" t="s">
        <v>167</v>
      </c>
      <c r="E106">
        <f>B106*C106+B107*C107</f>
        <v>216.70000000000002</v>
      </c>
    </row>
    <row r="107" spans="1:5" x14ac:dyDescent="0.25">
      <c r="A107" t="s">
        <v>164</v>
      </c>
      <c r="B107">
        <v>500</v>
      </c>
      <c r="C107" s="8">
        <v>0.16700000000000001</v>
      </c>
      <c r="D107" t="s">
        <v>173</v>
      </c>
      <c r="E107">
        <f>B105/(B100)</f>
        <v>18.634222919937205</v>
      </c>
    </row>
    <row r="108" spans="1:5" x14ac:dyDescent="0.25">
      <c r="A108" t="s">
        <v>169</v>
      </c>
      <c r="B108" t="s">
        <v>170</v>
      </c>
      <c r="C108" s="8">
        <v>7.5999999999999998E-2</v>
      </c>
      <c r="D108" t="s">
        <v>172</v>
      </c>
      <c r="E108">
        <f>E106/(B100)</f>
        <v>0.34018838304552595</v>
      </c>
    </row>
    <row r="109" spans="1:5" x14ac:dyDescent="0.25">
      <c r="A109" t="s">
        <v>328</v>
      </c>
      <c r="B109">
        <v>3000</v>
      </c>
      <c r="C109" s="8">
        <v>0.03</v>
      </c>
      <c r="D109" t="s">
        <v>183</v>
      </c>
      <c r="E109">
        <f>225*C108+B109*C109</f>
        <v>107.1</v>
      </c>
    </row>
    <row r="110" spans="1:5" x14ac:dyDescent="0.25">
      <c r="D110" t="s">
        <v>189</v>
      </c>
      <c r="E110">
        <f>E109/(B100)</f>
        <v>0.16813186813186812</v>
      </c>
    </row>
    <row r="111" spans="1:5" x14ac:dyDescent="0.25">
      <c r="D111" t="s">
        <v>190</v>
      </c>
      <c r="E111">
        <f>E110+E108*1.8</f>
        <v>0.7804709576138148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opLeftCell="A34" workbookViewId="0">
      <selection activeCell="A48" sqref="A48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8" width="10.7109375" customWidth="1"/>
  </cols>
  <sheetData>
    <row r="1" spans="1:4" x14ac:dyDescent="0.25">
      <c r="A1" t="s">
        <v>269</v>
      </c>
      <c r="D1" t="s">
        <v>473</v>
      </c>
    </row>
    <row r="11" spans="1:4" x14ac:dyDescent="0.25">
      <c r="A11" s="16" t="s">
        <v>454</v>
      </c>
    </row>
    <row r="13" spans="1:4" x14ac:dyDescent="0.25">
      <c r="A13" t="s">
        <v>126</v>
      </c>
      <c r="D13" t="s">
        <v>517</v>
      </c>
    </row>
    <row r="14" spans="1:4" x14ac:dyDescent="0.25">
      <c r="A14" t="s">
        <v>452</v>
      </c>
      <c r="D14" t="s">
        <v>518</v>
      </c>
    </row>
    <row r="15" spans="1:4" x14ac:dyDescent="0.25">
      <c r="A15" t="s">
        <v>453</v>
      </c>
    </row>
    <row r="18" spans="1:2" x14ac:dyDescent="0.25">
      <c r="A18" t="s">
        <v>128</v>
      </c>
    </row>
    <row r="19" spans="1:2" x14ac:dyDescent="0.25">
      <c r="A19" t="s">
        <v>455</v>
      </c>
    </row>
    <row r="20" spans="1:2" x14ac:dyDescent="0.25">
      <c r="A20" t="s">
        <v>456</v>
      </c>
    </row>
    <row r="23" spans="1:2" x14ac:dyDescent="0.25">
      <c r="A23" t="s">
        <v>365</v>
      </c>
    </row>
    <row r="24" spans="1:2" x14ac:dyDescent="0.25">
      <c r="A24" t="s">
        <v>457</v>
      </c>
      <c r="B24" t="s">
        <v>367</v>
      </c>
    </row>
    <row r="26" spans="1:2" x14ac:dyDescent="0.25">
      <c r="A26" t="s">
        <v>420</v>
      </c>
      <c r="B26" t="s">
        <v>461</v>
      </c>
    </row>
    <row r="27" spans="1:2" x14ac:dyDescent="0.25">
      <c r="A27" t="s">
        <v>460</v>
      </c>
    </row>
    <row r="29" spans="1:2" x14ac:dyDescent="0.25">
      <c r="A29" t="s">
        <v>133</v>
      </c>
    </row>
    <row r="30" spans="1:2" x14ac:dyDescent="0.25">
      <c r="A30" t="s">
        <v>494</v>
      </c>
    </row>
    <row r="31" spans="1:2" x14ac:dyDescent="0.25">
      <c r="A31" t="s">
        <v>495</v>
      </c>
    </row>
    <row r="34" spans="1:4" x14ac:dyDescent="0.25">
      <c r="A34" s="16" t="s">
        <v>462</v>
      </c>
    </row>
    <row r="36" spans="1:4" x14ac:dyDescent="0.25">
      <c r="A36" t="s">
        <v>463</v>
      </c>
      <c r="B36" t="s">
        <v>367</v>
      </c>
    </row>
    <row r="37" spans="1:4" x14ac:dyDescent="0.25">
      <c r="A37" t="s">
        <v>465</v>
      </c>
    </row>
    <row r="39" spans="1:4" x14ac:dyDescent="0.25">
      <c r="A39" t="s">
        <v>464</v>
      </c>
      <c r="B39" t="s">
        <v>367</v>
      </c>
    </row>
    <row r="40" spans="1:4" x14ac:dyDescent="0.25">
      <c r="A40" t="s">
        <v>466</v>
      </c>
    </row>
    <row r="42" spans="1:4" x14ac:dyDescent="0.25">
      <c r="A42" t="s">
        <v>467</v>
      </c>
    </row>
    <row r="43" spans="1:4" x14ac:dyDescent="0.25">
      <c r="A43" t="s">
        <v>468</v>
      </c>
    </row>
    <row r="44" spans="1:4" x14ac:dyDescent="0.25">
      <c r="A44" t="s">
        <v>469</v>
      </c>
    </row>
    <row r="45" spans="1:4" x14ac:dyDescent="0.25">
      <c r="A45" t="s">
        <v>470</v>
      </c>
    </row>
    <row r="46" spans="1:4" x14ac:dyDescent="0.25">
      <c r="D46" t="s">
        <v>519</v>
      </c>
    </row>
    <row r="48" spans="1:4" x14ac:dyDescent="0.25">
      <c r="A48" s="16" t="s">
        <v>471</v>
      </c>
      <c r="D48" t="s">
        <v>520</v>
      </c>
    </row>
    <row r="50" spans="1:2" x14ac:dyDescent="0.25">
      <c r="A50" t="s">
        <v>135</v>
      </c>
    </row>
    <row r="51" spans="1:2" x14ac:dyDescent="0.25">
      <c r="A51" t="s">
        <v>494</v>
      </c>
    </row>
    <row r="52" spans="1:2" x14ac:dyDescent="0.25">
      <c r="A52" t="s">
        <v>495</v>
      </c>
    </row>
    <row r="55" spans="1:2" x14ac:dyDescent="0.25">
      <c r="A55" s="16" t="s">
        <v>472</v>
      </c>
    </row>
    <row r="57" spans="1:2" x14ac:dyDescent="0.25">
      <c r="A57" t="s">
        <v>135</v>
      </c>
    </row>
    <row r="58" spans="1:2" x14ac:dyDescent="0.25">
      <c r="A58" t="s">
        <v>494</v>
      </c>
    </row>
    <row r="59" spans="1:2" x14ac:dyDescent="0.25">
      <c r="A59" t="s">
        <v>495</v>
      </c>
    </row>
    <row r="62" spans="1:2" x14ac:dyDescent="0.25">
      <c r="A62" s="16" t="s">
        <v>496</v>
      </c>
    </row>
    <row r="64" spans="1:2" x14ac:dyDescent="0.25">
      <c r="A64" t="s">
        <v>497</v>
      </c>
      <c r="B64" t="s">
        <v>367</v>
      </c>
    </row>
    <row r="65" spans="1:2" x14ac:dyDescent="0.25">
      <c r="A65" t="s">
        <v>499</v>
      </c>
    </row>
    <row r="67" spans="1:2" x14ac:dyDescent="0.25">
      <c r="A67" t="s">
        <v>498</v>
      </c>
    </row>
    <row r="68" spans="1:2" x14ac:dyDescent="0.25">
      <c r="A68" t="s">
        <v>500</v>
      </c>
      <c r="B68" t="s">
        <v>367</v>
      </c>
    </row>
    <row r="70" spans="1:2" x14ac:dyDescent="0.25">
      <c r="A70" t="s">
        <v>237</v>
      </c>
    </row>
    <row r="71" spans="1:2" x14ac:dyDescent="0.25">
      <c r="A71" t="s">
        <v>501</v>
      </c>
    </row>
    <row r="72" spans="1:2" x14ac:dyDescent="0.25">
      <c r="A72" t="s">
        <v>502</v>
      </c>
    </row>
    <row r="75" spans="1:2" x14ac:dyDescent="0.25">
      <c r="A75" t="s">
        <v>503</v>
      </c>
    </row>
    <row r="76" spans="1:2" x14ac:dyDescent="0.25">
      <c r="A76" t="s">
        <v>504</v>
      </c>
    </row>
    <row r="77" spans="1:2" x14ac:dyDescent="0.25">
      <c r="A77" t="s">
        <v>434</v>
      </c>
    </row>
    <row r="80" spans="1:2" x14ac:dyDescent="0.25">
      <c r="A80" t="s">
        <v>505</v>
      </c>
    </row>
    <row r="81" spans="1:1" x14ac:dyDescent="0.25">
      <c r="A81" t="s">
        <v>499</v>
      </c>
    </row>
    <row r="83" spans="1:1" x14ac:dyDescent="0.25">
      <c r="A83" t="s">
        <v>506</v>
      </c>
    </row>
    <row r="84" spans="1:1" x14ac:dyDescent="0.25">
      <c r="A84" t="s">
        <v>507</v>
      </c>
    </row>
    <row r="85" spans="1:1" x14ac:dyDescent="0.25">
      <c r="A85" t="s">
        <v>508</v>
      </c>
    </row>
    <row r="96" spans="1:1" x14ac:dyDescent="0.25">
      <c r="A96" t="s">
        <v>509</v>
      </c>
    </row>
    <row r="98" spans="1:2" x14ac:dyDescent="0.25">
      <c r="A98" t="s">
        <v>510</v>
      </c>
      <c r="B98" t="s">
        <v>511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109" workbookViewId="0">
      <selection activeCell="D120" sqref="D120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8" width="10.7109375" customWidth="1"/>
  </cols>
  <sheetData>
    <row r="1" spans="1:4" x14ac:dyDescent="0.25">
      <c r="A1" t="s">
        <v>346</v>
      </c>
      <c r="D1" t="s">
        <v>379</v>
      </c>
    </row>
    <row r="4" spans="1:4" x14ac:dyDescent="0.25">
      <c r="A4" t="s">
        <v>412</v>
      </c>
    </row>
    <row r="6" spans="1:4" x14ac:dyDescent="0.25">
      <c r="A6" t="s">
        <v>100</v>
      </c>
      <c r="B6">
        <v>49</v>
      </c>
      <c r="C6" t="s">
        <v>414</v>
      </c>
    </row>
    <row r="7" spans="1:4" x14ac:dyDescent="0.25">
      <c r="A7" t="s">
        <v>144</v>
      </c>
      <c r="B7">
        <f>15+7+44+53</f>
        <v>119</v>
      </c>
    </row>
    <row r="8" spans="1:4" x14ac:dyDescent="0.25">
      <c r="A8" t="s">
        <v>123</v>
      </c>
      <c r="B8">
        <v>125</v>
      </c>
    </row>
    <row r="9" spans="1:4" x14ac:dyDescent="0.25">
      <c r="A9" t="s">
        <v>413</v>
      </c>
      <c r="B9">
        <v>270</v>
      </c>
    </row>
    <row r="10" spans="1:4" x14ac:dyDescent="0.25">
      <c r="A10" t="s">
        <v>448</v>
      </c>
      <c r="B10">
        <v>5</v>
      </c>
    </row>
    <row r="13" spans="1:4" x14ac:dyDescent="0.25">
      <c r="A13" t="s">
        <v>388</v>
      </c>
    </row>
    <row r="14" spans="1:4" x14ac:dyDescent="0.25">
      <c r="A14" t="s">
        <v>387</v>
      </c>
    </row>
    <row r="15" spans="1:4" x14ac:dyDescent="0.25">
      <c r="A15" t="s">
        <v>102</v>
      </c>
    </row>
    <row r="18" spans="1:4" x14ac:dyDescent="0.25">
      <c r="A18" t="s">
        <v>118</v>
      </c>
    </row>
    <row r="19" spans="1:4" x14ac:dyDescent="0.25">
      <c r="A19" t="s">
        <v>387</v>
      </c>
    </row>
    <row r="20" spans="1:4" x14ac:dyDescent="0.25">
      <c r="A20" t="s">
        <v>102</v>
      </c>
    </row>
    <row r="23" spans="1:4" x14ac:dyDescent="0.25">
      <c r="A23" t="s">
        <v>114</v>
      </c>
    </row>
    <row r="24" spans="1:4" x14ac:dyDescent="0.25">
      <c r="A24" t="s">
        <v>389</v>
      </c>
      <c r="D24" t="s">
        <v>291</v>
      </c>
    </row>
    <row r="25" spans="1:4" x14ac:dyDescent="0.25">
      <c r="A25" t="s">
        <v>102</v>
      </c>
    </row>
    <row r="28" spans="1:4" x14ac:dyDescent="0.25">
      <c r="A28" t="s">
        <v>391</v>
      </c>
    </row>
    <row r="29" spans="1:4" x14ac:dyDescent="0.25">
      <c r="A29" t="s">
        <v>390</v>
      </c>
    </row>
    <row r="30" spans="1:4" x14ac:dyDescent="0.25">
      <c r="A30" t="s">
        <v>102</v>
      </c>
    </row>
    <row r="33" spans="1:1" x14ac:dyDescent="0.25">
      <c r="A33" t="s">
        <v>133</v>
      </c>
    </row>
    <row r="34" spans="1:1" x14ac:dyDescent="0.25">
      <c r="A34" t="s">
        <v>390</v>
      </c>
    </row>
    <row r="35" spans="1:1" x14ac:dyDescent="0.25">
      <c r="A35" t="s">
        <v>102</v>
      </c>
    </row>
    <row r="38" spans="1:1" x14ac:dyDescent="0.25">
      <c r="A38" t="s">
        <v>281</v>
      </c>
    </row>
    <row r="39" spans="1:1" x14ac:dyDescent="0.25">
      <c r="A39" t="s">
        <v>102</v>
      </c>
    </row>
    <row r="42" spans="1:1" x14ac:dyDescent="0.25">
      <c r="A42" t="s">
        <v>282</v>
      </c>
    </row>
    <row r="43" spans="1:1" x14ac:dyDescent="0.25">
      <c r="A43" t="s">
        <v>392</v>
      </c>
    </row>
    <row r="44" spans="1:1" x14ac:dyDescent="0.25">
      <c r="A44" t="s">
        <v>102</v>
      </c>
    </row>
    <row r="47" spans="1:1" x14ac:dyDescent="0.25">
      <c r="A47" t="s">
        <v>283</v>
      </c>
    </row>
    <row r="48" spans="1:1" x14ac:dyDescent="0.25">
      <c r="A48" t="s">
        <v>102</v>
      </c>
    </row>
    <row r="51" spans="1:4" x14ac:dyDescent="0.25">
      <c r="A51" t="s">
        <v>284</v>
      </c>
    </row>
    <row r="52" spans="1:4" x14ac:dyDescent="0.25">
      <c r="A52" t="s">
        <v>390</v>
      </c>
    </row>
    <row r="53" spans="1:4" x14ac:dyDescent="0.25">
      <c r="A53" t="s">
        <v>102</v>
      </c>
    </row>
    <row r="56" spans="1:4" x14ac:dyDescent="0.25">
      <c r="A56" t="s">
        <v>285</v>
      </c>
    </row>
    <row r="57" spans="1:4" x14ac:dyDescent="0.25">
      <c r="A57" t="s">
        <v>102</v>
      </c>
    </row>
    <row r="60" spans="1:4" x14ac:dyDescent="0.25">
      <c r="A60" t="s">
        <v>286</v>
      </c>
    </row>
    <row r="61" spans="1:4" x14ac:dyDescent="0.25">
      <c r="A61" t="s">
        <v>393</v>
      </c>
      <c r="C61" t="s">
        <v>394</v>
      </c>
      <c r="D61" t="s">
        <v>395</v>
      </c>
    </row>
    <row r="62" spans="1:4" x14ac:dyDescent="0.25">
      <c r="A62" t="s">
        <v>396</v>
      </c>
    </row>
    <row r="65" spans="1:1" x14ac:dyDescent="0.25">
      <c r="A65" t="s">
        <v>287</v>
      </c>
    </row>
    <row r="66" spans="1:1" x14ac:dyDescent="0.25">
      <c r="A66" t="s">
        <v>102</v>
      </c>
    </row>
    <row r="69" spans="1:1" x14ac:dyDescent="0.25">
      <c r="A69" t="s">
        <v>288</v>
      </c>
    </row>
    <row r="70" spans="1:1" x14ac:dyDescent="0.25">
      <c r="A70" t="s">
        <v>102</v>
      </c>
    </row>
    <row r="73" spans="1:1" x14ac:dyDescent="0.25">
      <c r="A73" t="s">
        <v>289</v>
      </c>
    </row>
    <row r="74" spans="1:1" x14ac:dyDescent="0.25">
      <c r="A74" t="s">
        <v>102</v>
      </c>
    </row>
    <row r="77" spans="1:1" x14ac:dyDescent="0.25">
      <c r="A77" t="s">
        <v>290</v>
      </c>
    </row>
    <row r="78" spans="1:1" x14ac:dyDescent="0.25">
      <c r="A78" t="s">
        <v>102</v>
      </c>
    </row>
    <row r="81" spans="1:1" x14ac:dyDescent="0.25">
      <c r="A81" t="s">
        <v>347</v>
      </c>
    </row>
    <row r="82" spans="1:1" x14ac:dyDescent="0.25">
      <c r="A82" t="s">
        <v>397</v>
      </c>
    </row>
    <row r="83" spans="1:1" x14ac:dyDescent="0.25">
      <c r="A83" t="s">
        <v>102</v>
      </c>
    </row>
    <row r="86" spans="1:1" x14ac:dyDescent="0.25">
      <c r="A86" t="s">
        <v>348</v>
      </c>
    </row>
    <row r="87" spans="1:1" x14ac:dyDescent="0.25">
      <c r="A87" t="s">
        <v>398</v>
      </c>
    </row>
    <row r="88" spans="1:1" x14ac:dyDescent="0.25">
      <c r="A88" t="s">
        <v>102</v>
      </c>
    </row>
    <row r="91" spans="1:1" x14ac:dyDescent="0.25">
      <c r="A91" t="s">
        <v>336</v>
      </c>
    </row>
    <row r="92" spans="1:1" x14ac:dyDescent="0.25">
      <c r="A92" t="s">
        <v>102</v>
      </c>
    </row>
    <row r="95" spans="1:1" x14ac:dyDescent="0.25">
      <c r="A95" t="s">
        <v>399</v>
      </c>
    </row>
    <row r="96" spans="1:1" x14ac:dyDescent="0.25">
      <c r="A96" t="s">
        <v>392</v>
      </c>
    </row>
    <row r="97" spans="1:7" x14ac:dyDescent="0.25">
      <c r="A97" t="s">
        <v>102</v>
      </c>
    </row>
    <row r="99" spans="1:7" x14ac:dyDescent="0.25">
      <c r="A99" t="s">
        <v>400</v>
      </c>
      <c r="C99" t="s">
        <v>394</v>
      </c>
      <c r="D99" t="s">
        <v>407</v>
      </c>
      <c r="F99" t="s">
        <v>394</v>
      </c>
      <c r="G99" t="s">
        <v>360</v>
      </c>
    </row>
    <row r="100" spans="1:7" x14ac:dyDescent="0.25">
      <c r="A100" t="s">
        <v>406</v>
      </c>
      <c r="C100" t="s">
        <v>402</v>
      </c>
      <c r="D100" t="s">
        <v>403</v>
      </c>
      <c r="G100" t="s">
        <v>349</v>
      </c>
    </row>
    <row r="101" spans="1:7" x14ac:dyDescent="0.25">
      <c r="A101" t="s">
        <v>401</v>
      </c>
      <c r="G101" t="s">
        <v>102</v>
      </c>
    </row>
    <row r="103" spans="1:7" x14ac:dyDescent="0.25">
      <c r="A103" t="s">
        <v>345</v>
      </c>
    </row>
    <row r="104" spans="1:7" x14ac:dyDescent="0.25">
      <c r="A104" t="s">
        <v>404</v>
      </c>
    </row>
    <row r="105" spans="1:7" x14ac:dyDescent="0.25">
      <c r="A105" t="s">
        <v>405</v>
      </c>
    </row>
    <row r="108" spans="1:7" x14ac:dyDescent="0.25">
      <c r="A108" t="s">
        <v>411</v>
      </c>
    </row>
    <row r="109" spans="1:7" x14ac:dyDescent="0.25">
      <c r="A109" t="s">
        <v>409</v>
      </c>
    </row>
    <row r="110" spans="1:7" x14ac:dyDescent="0.25">
      <c r="A110" t="s">
        <v>102</v>
      </c>
    </row>
    <row r="113" spans="1:2" x14ac:dyDescent="0.25">
      <c r="A113" t="s">
        <v>408</v>
      </c>
    </row>
    <row r="114" spans="1:2" x14ac:dyDescent="0.25">
      <c r="A114" t="s">
        <v>409</v>
      </c>
    </row>
    <row r="115" spans="1:2" x14ac:dyDescent="0.25">
      <c r="A115" t="s">
        <v>410</v>
      </c>
    </row>
    <row r="121" spans="1:2" x14ac:dyDescent="0.25">
      <c r="A121" t="s">
        <v>99</v>
      </c>
    </row>
    <row r="123" spans="1:2" x14ac:dyDescent="0.25">
      <c r="A123" t="s">
        <v>100</v>
      </c>
      <c r="B123">
        <v>0</v>
      </c>
    </row>
    <row r="124" spans="1:2" x14ac:dyDescent="0.25">
      <c r="A124" t="s">
        <v>144</v>
      </c>
      <c r="B124">
        <f>12+3+40+50</f>
        <v>105</v>
      </c>
    </row>
    <row r="125" spans="1:2" x14ac:dyDescent="0.25">
      <c r="A125" t="s">
        <v>361</v>
      </c>
      <c r="B12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1" x14ac:dyDescent="0.25">
      <c r="A1" t="s">
        <v>458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topLeftCell="C55" workbookViewId="0">
      <selection activeCell="L105" sqref="L105"/>
    </sheetView>
  </sheetViews>
  <sheetFormatPr baseColWidth="10" defaultRowHeight="15" x14ac:dyDescent="0.25"/>
  <cols>
    <col min="1" max="1" width="15.7109375" customWidth="1"/>
    <col min="2" max="3" width="10.7109375" customWidth="1"/>
    <col min="4" max="4" width="5.7109375" customWidth="1"/>
    <col min="5" max="5" width="15.7109375" customWidth="1"/>
    <col min="6" max="6" width="10.7109375" customWidth="1"/>
    <col min="7" max="7" width="15.7109375" customWidth="1"/>
    <col min="8" max="25" width="10.7109375" customWidth="1"/>
  </cols>
  <sheetData>
    <row r="1" spans="1:17" x14ac:dyDescent="0.25">
      <c r="A1" t="s">
        <v>175</v>
      </c>
      <c r="L1" t="s">
        <v>197</v>
      </c>
    </row>
    <row r="3" spans="1:17" x14ac:dyDescent="0.25">
      <c r="A3" t="s">
        <v>163</v>
      </c>
      <c r="B3">
        <v>1100</v>
      </c>
      <c r="C3" s="8">
        <v>0.111</v>
      </c>
      <c r="E3" t="s">
        <v>181</v>
      </c>
      <c r="F3">
        <v>170</v>
      </c>
      <c r="H3" t="s">
        <v>196</v>
      </c>
      <c r="I3">
        <v>1000</v>
      </c>
      <c r="L3" t="s">
        <v>163</v>
      </c>
      <c r="M3">
        <v>200</v>
      </c>
      <c r="N3" s="8">
        <v>0.33300000000000002</v>
      </c>
      <c r="P3" t="s">
        <v>181</v>
      </c>
      <c r="Q3">
        <v>35</v>
      </c>
    </row>
    <row r="4" spans="1:17" x14ac:dyDescent="0.25">
      <c r="A4" t="s">
        <v>164</v>
      </c>
      <c r="B4">
        <v>1300</v>
      </c>
      <c r="C4" s="8">
        <v>5.5E-2</v>
      </c>
      <c r="E4" t="s">
        <v>167</v>
      </c>
      <c r="F4">
        <f>B3*C3+B4*C4+B5*C5</f>
        <v>195.8</v>
      </c>
      <c r="L4" t="s">
        <v>164</v>
      </c>
      <c r="M4">
        <v>300</v>
      </c>
      <c r="N4" s="8">
        <v>0.16700000000000001</v>
      </c>
      <c r="P4" t="s">
        <v>167</v>
      </c>
      <c r="Q4">
        <f>M3*N3+M4*N4</f>
        <v>116.70000000000002</v>
      </c>
    </row>
    <row r="5" spans="1:17" x14ac:dyDescent="0.25">
      <c r="A5" t="s">
        <v>176</v>
      </c>
      <c r="B5">
        <v>2200</v>
      </c>
      <c r="C5" s="8">
        <v>1E-3</v>
      </c>
      <c r="E5" t="s">
        <v>182</v>
      </c>
      <c r="F5">
        <f>F4/F3</f>
        <v>1.151764705882353</v>
      </c>
      <c r="L5" t="s">
        <v>198</v>
      </c>
      <c r="M5">
        <v>300</v>
      </c>
      <c r="N5" s="8">
        <v>7.5999999999999998E-2</v>
      </c>
      <c r="P5" t="s">
        <v>182</v>
      </c>
      <c r="Q5">
        <f>Q4/Q3</f>
        <v>3.334285714285715</v>
      </c>
    </row>
    <row r="6" spans="1:17" x14ac:dyDescent="0.25">
      <c r="A6" t="s">
        <v>169</v>
      </c>
      <c r="B6" t="s">
        <v>177</v>
      </c>
      <c r="C6" s="8">
        <v>0.24099999999999999</v>
      </c>
      <c r="E6" t="s">
        <v>183</v>
      </c>
      <c r="F6">
        <f>B7*C7+B8*C8+B9*C9+400*C6</f>
        <v>416.5</v>
      </c>
      <c r="P6" t="s">
        <v>183</v>
      </c>
      <c r="Q6">
        <f>120*N5</f>
        <v>9.1199999999999992</v>
      </c>
    </row>
    <row r="7" spans="1:17" x14ac:dyDescent="0.25">
      <c r="A7" t="s">
        <v>178</v>
      </c>
      <c r="B7">
        <v>300</v>
      </c>
      <c r="C7" s="8">
        <v>0.24099999999999999</v>
      </c>
      <c r="E7" t="s">
        <v>184</v>
      </c>
      <c r="F7">
        <f>F6/F3</f>
        <v>2.4500000000000002</v>
      </c>
      <c r="P7" t="s">
        <v>184</v>
      </c>
      <c r="Q7">
        <f>Q6/Q3</f>
        <v>0.26057142857142856</v>
      </c>
    </row>
    <row r="8" spans="1:17" x14ac:dyDescent="0.25">
      <c r="A8" t="s">
        <v>178</v>
      </c>
      <c r="B8">
        <v>600</v>
      </c>
      <c r="C8" s="8">
        <v>0.18099999999999999</v>
      </c>
    </row>
    <row r="9" spans="1:17" x14ac:dyDescent="0.25">
      <c r="A9" t="s">
        <v>179</v>
      </c>
      <c r="B9">
        <v>2900</v>
      </c>
      <c r="C9" s="8">
        <v>4.8000000000000001E-2</v>
      </c>
      <c r="E9" t="s">
        <v>185</v>
      </c>
      <c r="F9">
        <f>F7+F5*1.3</f>
        <v>3.9472941176470591</v>
      </c>
      <c r="G9" t="s">
        <v>186</v>
      </c>
      <c r="P9" t="s">
        <v>185</v>
      </c>
      <c r="Q9">
        <f>Q7+Q5*1.3</f>
        <v>4.5951428571428581</v>
      </c>
    </row>
    <row r="12" spans="1:17" x14ac:dyDescent="0.25">
      <c r="A12" t="s">
        <v>180</v>
      </c>
      <c r="L12" t="s">
        <v>199</v>
      </c>
    </row>
    <row r="14" spans="1:17" x14ac:dyDescent="0.25">
      <c r="A14" t="s">
        <v>163</v>
      </c>
      <c r="B14">
        <v>1500</v>
      </c>
      <c r="C14" s="8">
        <v>0.188</v>
      </c>
      <c r="E14" t="s">
        <v>181</v>
      </c>
      <c r="F14">
        <v>250</v>
      </c>
      <c r="H14" t="s">
        <v>196</v>
      </c>
      <c r="I14">
        <v>1300</v>
      </c>
    </row>
    <row r="15" spans="1:17" x14ac:dyDescent="0.25">
      <c r="A15" t="s">
        <v>164</v>
      </c>
      <c r="B15">
        <v>1800</v>
      </c>
      <c r="C15" s="8">
        <v>6.2E-2</v>
      </c>
      <c r="E15" t="s">
        <v>167</v>
      </c>
      <c r="F15">
        <f>B14*C14+B15*C15</f>
        <v>393.6</v>
      </c>
    </row>
    <row r="16" spans="1:17" x14ac:dyDescent="0.25">
      <c r="A16" t="s">
        <v>169</v>
      </c>
      <c r="B16" t="s">
        <v>177</v>
      </c>
      <c r="C16" s="9">
        <v>0.27</v>
      </c>
      <c r="E16" t="s">
        <v>182</v>
      </c>
      <c r="F16">
        <f>F15/F14</f>
        <v>1.5744</v>
      </c>
    </row>
    <row r="17" spans="1:9" x14ac:dyDescent="0.25">
      <c r="A17" t="s">
        <v>178</v>
      </c>
      <c r="B17">
        <v>300</v>
      </c>
      <c r="C17" s="9">
        <v>0.27</v>
      </c>
      <c r="E17" t="s">
        <v>183</v>
      </c>
      <c r="F17">
        <f>B17*C17+B18*C18+400*C16</f>
        <v>270</v>
      </c>
    </row>
    <row r="18" spans="1:9" x14ac:dyDescent="0.25">
      <c r="A18" t="s">
        <v>178</v>
      </c>
      <c r="B18">
        <v>600</v>
      </c>
      <c r="C18" s="8">
        <v>0.13500000000000001</v>
      </c>
      <c r="E18" t="s">
        <v>184</v>
      </c>
      <c r="F18">
        <f>F17/F14</f>
        <v>1.08</v>
      </c>
    </row>
    <row r="19" spans="1:9" x14ac:dyDescent="0.25">
      <c r="E19" t="s">
        <v>185</v>
      </c>
      <c r="F19">
        <f>F18+F16*1.3</f>
        <v>3.1267200000000002</v>
      </c>
      <c r="G19" t="s">
        <v>186</v>
      </c>
    </row>
    <row r="21" spans="1:9" x14ac:dyDescent="0.25">
      <c r="A21" t="s">
        <v>187</v>
      </c>
    </row>
    <row r="23" spans="1:9" x14ac:dyDescent="0.25">
      <c r="A23" t="s">
        <v>163</v>
      </c>
      <c r="B23">
        <v>700</v>
      </c>
      <c r="C23" s="8">
        <v>0.25</v>
      </c>
      <c r="E23" t="s">
        <v>181</v>
      </c>
      <c r="F23">
        <v>110</v>
      </c>
      <c r="H23" t="s">
        <v>196</v>
      </c>
      <c r="I23">
        <v>600</v>
      </c>
    </row>
    <row r="24" spans="1:9" x14ac:dyDescent="0.25">
      <c r="A24" t="s">
        <v>164</v>
      </c>
      <c r="B24">
        <v>800</v>
      </c>
      <c r="C24" s="8">
        <v>0.125</v>
      </c>
      <c r="E24" t="s">
        <v>167</v>
      </c>
      <c r="F24">
        <f>B23*C23+B24*C24</f>
        <v>275</v>
      </c>
    </row>
    <row r="25" spans="1:9" x14ac:dyDescent="0.25">
      <c r="A25" t="s">
        <v>169</v>
      </c>
      <c r="B25" t="s">
        <v>170</v>
      </c>
      <c r="C25" s="9">
        <v>0.27</v>
      </c>
      <c r="E25" t="s">
        <v>182</v>
      </c>
      <c r="F25">
        <f>F24/F23</f>
        <v>2.5</v>
      </c>
    </row>
    <row r="26" spans="1:9" x14ac:dyDescent="0.25">
      <c r="A26" t="s">
        <v>178</v>
      </c>
      <c r="B26">
        <v>150</v>
      </c>
      <c r="C26" s="9">
        <v>0.25</v>
      </c>
      <c r="E26" t="s">
        <v>183</v>
      </c>
      <c r="F26">
        <f>B26*C26+B27*C27+225*C25</f>
        <v>135.75</v>
      </c>
    </row>
    <row r="27" spans="1:9" x14ac:dyDescent="0.25">
      <c r="A27" t="s">
        <v>178</v>
      </c>
      <c r="B27">
        <v>300</v>
      </c>
      <c r="C27" s="8">
        <v>0.125</v>
      </c>
      <c r="E27" t="s">
        <v>184</v>
      </c>
      <c r="F27">
        <f>F26/F23</f>
        <v>1.2340909090909091</v>
      </c>
    </row>
    <row r="28" spans="1:9" x14ac:dyDescent="0.25">
      <c r="E28" t="s">
        <v>185</v>
      </c>
      <c r="F28">
        <f>F27+F25*1.3</f>
        <v>4.4840909090909093</v>
      </c>
      <c r="G28" t="s">
        <v>186</v>
      </c>
    </row>
    <row r="30" spans="1:9" x14ac:dyDescent="0.25">
      <c r="A30" t="s">
        <v>188</v>
      </c>
    </row>
    <row r="32" spans="1:9" x14ac:dyDescent="0.25">
      <c r="A32" t="s">
        <v>163</v>
      </c>
      <c r="B32">
        <v>800</v>
      </c>
      <c r="C32" s="8">
        <v>0.125</v>
      </c>
      <c r="E32" t="s">
        <v>181</v>
      </c>
      <c r="F32">
        <v>110</v>
      </c>
      <c r="H32" t="s">
        <v>196</v>
      </c>
      <c r="I32">
        <v>650</v>
      </c>
    </row>
    <row r="33" spans="1:21" x14ac:dyDescent="0.25">
      <c r="A33" t="s">
        <v>164</v>
      </c>
      <c r="B33">
        <v>900</v>
      </c>
      <c r="C33" s="8">
        <v>0.125</v>
      </c>
      <c r="E33" t="s">
        <v>167</v>
      </c>
      <c r="F33">
        <f>B32*C32+B33*C33</f>
        <v>212.5</v>
      </c>
    </row>
    <row r="34" spans="1:21" x14ac:dyDescent="0.25">
      <c r="A34" t="s">
        <v>169</v>
      </c>
      <c r="B34" t="s">
        <v>177</v>
      </c>
      <c r="C34" s="9">
        <v>0.27</v>
      </c>
      <c r="E34" t="s">
        <v>182</v>
      </c>
      <c r="F34">
        <f>F33/F32</f>
        <v>1.9318181818181819</v>
      </c>
    </row>
    <row r="35" spans="1:21" x14ac:dyDescent="0.25">
      <c r="A35" t="s">
        <v>178</v>
      </c>
      <c r="B35">
        <v>150</v>
      </c>
      <c r="C35" s="9">
        <v>0.26700000000000002</v>
      </c>
      <c r="E35" t="s">
        <v>183</v>
      </c>
      <c r="F35">
        <f>B35*C35+B36*C36+400*C34</f>
        <v>208.05</v>
      </c>
    </row>
    <row r="36" spans="1:21" x14ac:dyDescent="0.25">
      <c r="A36" t="s">
        <v>178</v>
      </c>
      <c r="B36">
        <v>300</v>
      </c>
      <c r="C36" s="8">
        <v>0.2</v>
      </c>
      <c r="E36" t="s">
        <v>184</v>
      </c>
      <c r="F36">
        <f>F35/F32</f>
        <v>1.8913636363636364</v>
      </c>
    </row>
    <row r="37" spans="1:21" x14ac:dyDescent="0.25">
      <c r="E37" t="s">
        <v>185</v>
      </c>
      <c r="F37">
        <f>F36+F34*1.3</f>
        <v>4.4027272727272733</v>
      </c>
      <c r="G37" t="s">
        <v>186</v>
      </c>
    </row>
    <row r="42" spans="1:21" x14ac:dyDescent="0.25">
      <c r="E42" t="s">
        <v>545</v>
      </c>
      <c r="H42" t="s">
        <v>535</v>
      </c>
      <c r="I42" t="s">
        <v>536</v>
      </c>
      <c r="J42" t="s">
        <v>536</v>
      </c>
      <c r="K42" t="s">
        <v>535</v>
      </c>
      <c r="O42" t="s">
        <v>551</v>
      </c>
      <c r="P42" t="s">
        <v>554</v>
      </c>
      <c r="Q42" t="s">
        <v>548</v>
      </c>
      <c r="R42" t="s">
        <v>547</v>
      </c>
    </row>
    <row r="43" spans="1:21" x14ac:dyDescent="0.25">
      <c r="H43" t="s">
        <v>537</v>
      </c>
      <c r="I43" s="18" t="s">
        <v>538</v>
      </c>
      <c r="J43" t="s">
        <v>537</v>
      </c>
      <c r="K43" t="s">
        <v>539</v>
      </c>
      <c r="L43" t="s">
        <v>540</v>
      </c>
      <c r="O43" t="s">
        <v>550</v>
      </c>
      <c r="P43" s="18" t="s">
        <v>555</v>
      </c>
      <c r="Q43" t="s">
        <v>549</v>
      </c>
      <c r="R43" t="s">
        <v>549</v>
      </c>
      <c r="S43" t="s">
        <v>540</v>
      </c>
      <c r="U43" t="s">
        <v>553</v>
      </c>
    </row>
    <row r="44" spans="1:21" x14ac:dyDescent="0.25">
      <c r="H44" t="s">
        <v>541</v>
      </c>
      <c r="I44" t="s">
        <v>536</v>
      </c>
      <c r="J44" t="s">
        <v>536</v>
      </c>
      <c r="K44" t="s">
        <v>535</v>
      </c>
      <c r="L44" t="s">
        <v>540</v>
      </c>
      <c r="O44" t="s">
        <v>541</v>
      </c>
      <c r="P44" t="s">
        <v>556</v>
      </c>
      <c r="Q44" t="s">
        <v>541</v>
      </c>
      <c r="R44" t="s">
        <v>557</v>
      </c>
      <c r="S44" t="s">
        <v>557</v>
      </c>
    </row>
    <row r="45" spans="1:21" x14ac:dyDescent="0.25">
      <c r="H45" t="s">
        <v>542</v>
      </c>
      <c r="I45" t="s">
        <v>543</v>
      </c>
      <c r="J45" t="s">
        <v>543</v>
      </c>
      <c r="K45" t="s">
        <v>543</v>
      </c>
      <c r="L45" s="18" t="s">
        <v>542</v>
      </c>
      <c r="O45" t="s">
        <v>543</v>
      </c>
      <c r="P45" t="s">
        <v>543</v>
      </c>
      <c r="Q45" t="s">
        <v>543</v>
      </c>
      <c r="R45" t="s">
        <v>544</v>
      </c>
      <c r="S45" t="s">
        <v>538</v>
      </c>
    </row>
    <row r="46" spans="1:21" x14ac:dyDescent="0.25">
      <c r="H46" s="18" t="s">
        <v>543</v>
      </c>
      <c r="I46" t="s">
        <v>544</v>
      </c>
      <c r="J46" s="18" t="s">
        <v>538</v>
      </c>
      <c r="K46" t="s">
        <v>544</v>
      </c>
      <c r="O46" t="s">
        <v>538</v>
      </c>
      <c r="P46" t="s">
        <v>544</v>
      </c>
      <c r="Q46" s="18" t="s">
        <v>543</v>
      </c>
      <c r="R46" t="s">
        <v>543</v>
      </c>
    </row>
    <row r="47" spans="1:21" x14ac:dyDescent="0.25">
      <c r="J47" t="s">
        <v>543</v>
      </c>
      <c r="K47" t="s">
        <v>543</v>
      </c>
      <c r="Q47" t="s">
        <v>542</v>
      </c>
      <c r="R47" t="s">
        <v>542</v>
      </c>
    </row>
    <row r="48" spans="1:21" x14ac:dyDescent="0.25">
      <c r="J48" t="s">
        <v>540</v>
      </c>
      <c r="K48" t="s">
        <v>540</v>
      </c>
      <c r="Q48" t="s">
        <v>540</v>
      </c>
      <c r="R48" t="s">
        <v>547</v>
      </c>
    </row>
    <row r="52" spans="5:22" x14ac:dyDescent="0.25">
      <c r="E52" t="s">
        <v>546</v>
      </c>
      <c r="H52" s="17" t="s">
        <v>547</v>
      </c>
      <c r="I52" s="17" t="s">
        <v>548</v>
      </c>
      <c r="J52" s="17" t="s">
        <v>548</v>
      </c>
      <c r="K52" s="17" t="s">
        <v>547</v>
      </c>
      <c r="L52" s="17"/>
      <c r="O52">
        <f>24*2</f>
        <v>48</v>
      </c>
      <c r="P52">
        <f>64</f>
        <v>64</v>
      </c>
      <c r="Q52">
        <f>20+28</f>
        <v>48</v>
      </c>
      <c r="R52">
        <f>16*2</f>
        <v>32</v>
      </c>
    </row>
    <row r="53" spans="5:22" x14ac:dyDescent="0.25">
      <c r="H53" s="17" t="s">
        <v>549</v>
      </c>
      <c r="I53" s="18" t="s">
        <v>542</v>
      </c>
      <c r="J53" s="17" t="s">
        <v>549</v>
      </c>
      <c r="K53" s="17" t="s">
        <v>550</v>
      </c>
      <c r="L53" s="17" t="s">
        <v>551</v>
      </c>
      <c r="O53">
        <f>36+12</f>
        <v>48</v>
      </c>
      <c r="P53" s="18">
        <f>8*2</f>
        <v>16</v>
      </c>
      <c r="Q53">
        <v>32</v>
      </c>
      <c r="R53">
        <v>16</v>
      </c>
      <c r="S53">
        <v>0</v>
      </c>
    </row>
    <row r="54" spans="5:22" x14ac:dyDescent="0.25">
      <c r="H54" s="17" t="s">
        <v>541</v>
      </c>
      <c r="I54" s="17" t="s">
        <v>536</v>
      </c>
      <c r="J54" s="17" t="s">
        <v>536</v>
      </c>
      <c r="K54" s="17" t="s">
        <v>535</v>
      </c>
      <c r="L54" s="17" t="s">
        <v>540</v>
      </c>
      <c r="O54">
        <v>0</v>
      </c>
      <c r="P54">
        <f>28+4</f>
        <v>32</v>
      </c>
      <c r="Q54">
        <v>16</v>
      </c>
      <c r="R54">
        <f>(16-24)*2</f>
        <v>-16</v>
      </c>
      <c r="S54">
        <f>(16-32)*2</f>
        <v>-32</v>
      </c>
    </row>
    <row r="55" spans="5:22" x14ac:dyDescent="0.25">
      <c r="H55" s="17" t="s">
        <v>543</v>
      </c>
      <c r="I55" s="17" t="s">
        <v>544</v>
      </c>
      <c r="J55" s="18" t="s">
        <v>538</v>
      </c>
      <c r="K55" s="17" t="s">
        <v>544</v>
      </c>
      <c r="L55" s="17" t="s">
        <v>543</v>
      </c>
      <c r="O55">
        <f>(20-28)*2</f>
        <v>-16</v>
      </c>
      <c r="P55">
        <v>0</v>
      </c>
      <c r="Q55">
        <v>0</v>
      </c>
      <c r="R55">
        <f>(12-20)*2</f>
        <v>-16</v>
      </c>
      <c r="S55" t="s">
        <v>538</v>
      </c>
    </row>
    <row r="56" spans="5:22" x14ac:dyDescent="0.25">
      <c r="H56" s="17" t="s">
        <v>542</v>
      </c>
      <c r="I56" s="17" t="s">
        <v>543</v>
      </c>
      <c r="J56" s="17" t="s">
        <v>543</v>
      </c>
      <c r="K56" s="17" t="s">
        <v>543</v>
      </c>
      <c r="L56" s="17"/>
      <c r="O56" t="s">
        <v>538</v>
      </c>
      <c r="P56">
        <v>0</v>
      </c>
      <c r="Q56" s="18">
        <v>0</v>
      </c>
      <c r="R56">
        <f>8*2</f>
        <v>16</v>
      </c>
    </row>
    <row r="57" spans="5:22" x14ac:dyDescent="0.25">
      <c r="H57" s="17"/>
      <c r="I57" s="17"/>
      <c r="J57" s="17" t="s">
        <v>542</v>
      </c>
      <c r="K57" s="17" t="s">
        <v>542</v>
      </c>
      <c r="L57" s="17"/>
      <c r="Q57">
        <f>8*2</f>
        <v>16</v>
      </c>
      <c r="R57">
        <f>8*2</f>
        <v>16</v>
      </c>
    </row>
    <row r="58" spans="5:22" x14ac:dyDescent="0.25">
      <c r="H58" s="17"/>
      <c r="I58" s="17"/>
      <c r="J58" s="17" t="s">
        <v>547</v>
      </c>
      <c r="K58" s="17" t="s">
        <v>547</v>
      </c>
      <c r="L58" s="17"/>
      <c r="Q58">
        <v>0</v>
      </c>
      <c r="R58">
        <f>8*2</f>
        <v>16</v>
      </c>
    </row>
    <row r="61" spans="5:22" x14ac:dyDescent="0.25">
      <c r="O61">
        <f>SUM(O52:O55)</f>
        <v>80</v>
      </c>
      <c r="P61">
        <f>SUM(P52:P56)</f>
        <v>112</v>
      </c>
      <c r="Q61">
        <f>SUM(Q52:Q58)</f>
        <v>112</v>
      </c>
      <c r="R61">
        <f>SUM(R52:R58)</f>
        <v>64</v>
      </c>
      <c r="S61">
        <f>SUM(S53:S54)</f>
        <v>-32</v>
      </c>
      <c r="T61">
        <f>SUM(O61:S61)</f>
        <v>336</v>
      </c>
      <c r="V61" t="s">
        <v>558</v>
      </c>
    </row>
    <row r="62" spans="5:22" x14ac:dyDescent="0.25">
      <c r="H62">
        <f>16*2</f>
        <v>32</v>
      </c>
      <c r="I62">
        <f>28+20</f>
        <v>48</v>
      </c>
      <c r="J62">
        <f>28+20</f>
        <v>48</v>
      </c>
      <c r="K62">
        <f>16*2</f>
        <v>32</v>
      </c>
      <c r="V62" t="s">
        <v>559</v>
      </c>
    </row>
    <row r="63" spans="5:22" x14ac:dyDescent="0.25">
      <c r="E63" t="s">
        <v>552</v>
      </c>
      <c r="H63">
        <f>32</f>
        <v>32</v>
      </c>
      <c r="I63" s="18" t="s">
        <v>538</v>
      </c>
      <c r="J63">
        <v>32</v>
      </c>
      <c r="K63">
        <v>32</v>
      </c>
      <c r="L63">
        <f>16*2</f>
        <v>32</v>
      </c>
    </row>
    <row r="64" spans="5:22" x14ac:dyDescent="0.25">
      <c r="H64">
        <v>0</v>
      </c>
      <c r="I64">
        <v>0</v>
      </c>
      <c r="J64">
        <v>0</v>
      </c>
      <c r="K64">
        <v>0</v>
      </c>
      <c r="L64">
        <v>0</v>
      </c>
    </row>
    <row r="65" spans="5:21" x14ac:dyDescent="0.25">
      <c r="H65">
        <f>(20-28)*2</f>
        <v>-16</v>
      </c>
      <c r="I65">
        <f>(12-20)*2</f>
        <v>-16</v>
      </c>
      <c r="J65" s="18" t="s">
        <v>543</v>
      </c>
      <c r="K65">
        <f>(12-20)*2</f>
        <v>-16</v>
      </c>
      <c r="L65">
        <f>(20-28)*2</f>
        <v>-16</v>
      </c>
      <c r="O65" t="s">
        <v>547</v>
      </c>
      <c r="P65" t="s">
        <v>548</v>
      </c>
      <c r="Q65" t="s">
        <v>548</v>
      </c>
      <c r="R65" t="s">
        <v>547</v>
      </c>
      <c r="U65" t="s">
        <v>560</v>
      </c>
    </row>
    <row r="66" spans="5:21" x14ac:dyDescent="0.25">
      <c r="H66">
        <f>8*2</f>
        <v>16</v>
      </c>
      <c r="I66">
        <f>8*2</f>
        <v>16</v>
      </c>
      <c r="J66" s="18" t="s">
        <v>538</v>
      </c>
      <c r="K66">
        <f>8*2</f>
        <v>16</v>
      </c>
      <c r="L66">
        <f>SUM(L63:L65)</f>
        <v>16</v>
      </c>
      <c r="O66" t="s">
        <v>549</v>
      </c>
      <c r="P66" s="18" t="s">
        <v>555</v>
      </c>
      <c r="Q66" t="s">
        <v>549</v>
      </c>
      <c r="R66" t="s">
        <v>549</v>
      </c>
      <c r="S66" t="s">
        <v>540</v>
      </c>
    </row>
    <row r="67" spans="5:21" x14ac:dyDescent="0.25">
      <c r="H67">
        <f>SUM(H62:H66)</f>
        <v>64</v>
      </c>
      <c r="I67">
        <f>I62+I65+I66</f>
        <v>48</v>
      </c>
      <c r="J67">
        <f>8*2</f>
        <v>16</v>
      </c>
      <c r="K67">
        <f>8*2</f>
        <v>16</v>
      </c>
      <c r="O67" t="s">
        <v>536</v>
      </c>
      <c r="P67" t="s">
        <v>541</v>
      </c>
      <c r="Q67" t="s">
        <v>541</v>
      </c>
      <c r="R67" t="s">
        <v>557</v>
      </c>
      <c r="S67" t="s">
        <v>557</v>
      </c>
    </row>
    <row r="68" spans="5:21" x14ac:dyDescent="0.25">
      <c r="J68">
        <f>8*2</f>
        <v>16</v>
      </c>
      <c r="K68">
        <f>8*2</f>
        <v>16</v>
      </c>
      <c r="O68" t="s">
        <v>538</v>
      </c>
      <c r="P68" t="s">
        <v>544</v>
      </c>
      <c r="Q68" t="s">
        <v>543</v>
      </c>
      <c r="R68" t="s">
        <v>544</v>
      </c>
      <c r="S68" t="s">
        <v>538</v>
      </c>
    </row>
    <row r="69" spans="5:21" x14ac:dyDescent="0.25">
      <c r="E69" t="s">
        <v>561</v>
      </c>
      <c r="H69">
        <v>336</v>
      </c>
      <c r="J69">
        <f>J62+J63+J67+J68</f>
        <v>112</v>
      </c>
      <c r="K69">
        <f>SUM(K62:K68)</f>
        <v>96</v>
      </c>
      <c r="O69" t="s">
        <v>535</v>
      </c>
      <c r="P69" t="s">
        <v>543</v>
      </c>
      <c r="Q69" s="18" t="s">
        <v>542</v>
      </c>
      <c r="R69" t="s">
        <v>543</v>
      </c>
    </row>
    <row r="70" spans="5:21" x14ac:dyDescent="0.25">
      <c r="Q70" t="s">
        <v>555</v>
      </c>
      <c r="R70" t="s">
        <v>542</v>
      </c>
    </row>
    <row r="71" spans="5:21" x14ac:dyDescent="0.25">
      <c r="Q71" t="s">
        <v>547</v>
      </c>
      <c r="R71" t="s">
        <v>547</v>
      </c>
    </row>
    <row r="73" spans="5:21" x14ac:dyDescent="0.25">
      <c r="H73">
        <f>H69/27</f>
        <v>12.444444444444445</v>
      </c>
    </row>
    <row r="74" spans="5:21" x14ac:dyDescent="0.25">
      <c r="O74">
        <f>16*2</f>
        <v>32</v>
      </c>
      <c r="P74">
        <f>28+20</f>
        <v>48</v>
      </c>
      <c r="Q74">
        <f>28+20</f>
        <v>48</v>
      </c>
      <c r="R74">
        <f>16*2</f>
        <v>32</v>
      </c>
    </row>
    <row r="75" spans="5:21" x14ac:dyDescent="0.25">
      <c r="H75">
        <f>H73/400</f>
        <v>3.111111111111111E-2</v>
      </c>
      <c r="J75">
        <f>1/27</f>
        <v>3.7037037037037035E-2</v>
      </c>
      <c r="O75">
        <f>56-24</f>
        <v>32</v>
      </c>
      <c r="P75" s="18">
        <f>8*2</f>
        <v>16</v>
      </c>
      <c r="Q75">
        <f>56-24</f>
        <v>32</v>
      </c>
      <c r="R75">
        <f>56-40</f>
        <v>16</v>
      </c>
      <c r="S75">
        <v>0</v>
      </c>
    </row>
    <row r="76" spans="5:21" x14ac:dyDescent="0.25">
      <c r="O76">
        <f>32-48</f>
        <v>-16</v>
      </c>
      <c r="P76">
        <f>48-32</f>
        <v>16</v>
      </c>
      <c r="Q76">
        <f>48-32</f>
        <v>16</v>
      </c>
      <c r="R76">
        <f>(16-24)*2</f>
        <v>-16</v>
      </c>
      <c r="S76">
        <f>(16-32)*2</f>
        <v>-32</v>
      </c>
    </row>
    <row r="77" spans="5:21" x14ac:dyDescent="0.25">
      <c r="O77" t="s">
        <v>538</v>
      </c>
      <c r="P77">
        <f>(12-20)*2</f>
        <v>-16</v>
      </c>
      <c r="Q77">
        <v>0</v>
      </c>
      <c r="R77">
        <f>(12-20)*2</f>
        <v>-16</v>
      </c>
      <c r="S77" t="s">
        <v>538</v>
      </c>
    </row>
    <row r="78" spans="5:21" x14ac:dyDescent="0.25">
      <c r="O78">
        <f>4*2</f>
        <v>8</v>
      </c>
      <c r="P78">
        <f>8*2</f>
        <v>16</v>
      </c>
      <c r="Q78" s="18">
        <f>8*2</f>
        <v>16</v>
      </c>
      <c r="R78">
        <f>8*2</f>
        <v>16</v>
      </c>
    </row>
    <row r="79" spans="5:21" x14ac:dyDescent="0.25">
      <c r="Q79">
        <f>16*2</f>
        <v>32</v>
      </c>
      <c r="R79">
        <f>8*2</f>
        <v>16</v>
      </c>
    </row>
    <row r="80" spans="5:21" x14ac:dyDescent="0.25">
      <c r="Q80">
        <f>8*2</f>
        <v>16</v>
      </c>
      <c r="R80">
        <f>8*2</f>
        <v>16</v>
      </c>
    </row>
    <row r="81" spans="8:20" x14ac:dyDescent="0.25">
      <c r="O81">
        <f>SUM(O74:O78)</f>
        <v>56</v>
      </c>
      <c r="P81">
        <f>SUM(P74:P80)</f>
        <v>80</v>
      </c>
      <c r="Q81">
        <f>SUM(Q74:Q80)</f>
        <v>160</v>
      </c>
      <c r="R81">
        <f>SUM(R74:R80)</f>
        <v>64</v>
      </c>
      <c r="S81">
        <f>SUM(S75:S76)</f>
        <v>-32</v>
      </c>
      <c r="T81">
        <f>SUM(O81:S81)</f>
        <v>328</v>
      </c>
    </row>
    <row r="82" spans="8:20" x14ac:dyDescent="0.25">
      <c r="I82" s="19" t="s">
        <v>562</v>
      </c>
      <c r="J82" s="19"/>
      <c r="K82" s="19"/>
      <c r="L82" s="19"/>
      <c r="M82" s="19"/>
      <c r="N82" s="19"/>
    </row>
    <row r="85" spans="8:20" x14ac:dyDescent="0.25">
      <c r="I85" s="19" t="s">
        <v>563</v>
      </c>
      <c r="J85" s="19"/>
      <c r="K85" s="19"/>
      <c r="L85" s="19"/>
    </row>
    <row r="88" spans="8:20" x14ac:dyDescent="0.25">
      <c r="H88" s="17" t="s">
        <v>550</v>
      </c>
      <c r="I88" s="17" t="s">
        <v>549</v>
      </c>
      <c r="J88" s="17" t="s">
        <v>549</v>
      </c>
      <c r="K88" s="17" t="s">
        <v>542</v>
      </c>
      <c r="L88" s="17"/>
    </row>
    <row r="89" spans="8:20" x14ac:dyDescent="0.25">
      <c r="H89" s="17" t="s">
        <v>541</v>
      </c>
      <c r="I89" s="18" t="s">
        <v>557</v>
      </c>
      <c r="J89" s="17" t="s">
        <v>536</v>
      </c>
      <c r="K89" s="17" t="s">
        <v>541</v>
      </c>
      <c r="L89" s="17" t="s">
        <v>555</v>
      </c>
    </row>
    <row r="90" spans="8:20" x14ac:dyDescent="0.25">
      <c r="H90" s="17" t="s">
        <v>539</v>
      </c>
      <c r="I90" s="17" t="s">
        <v>537</v>
      </c>
      <c r="J90" s="17" t="s">
        <v>538</v>
      </c>
      <c r="K90" s="17" t="s">
        <v>544</v>
      </c>
      <c r="L90" s="17" t="s">
        <v>543</v>
      </c>
    </row>
    <row r="91" spans="8:20" x14ac:dyDescent="0.25">
      <c r="H91" s="17" t="s">
        <v>540</v>
      </c>
      <c r="I91" s="17" t="s">
        <v>535</v>
      </c>
      <c r="J91" s="17" t="s">
        <v>557</v>
      </c>
      <c r="K91" s="17" t="s">
        <v>557</v>
      </c>
      <c r="L91" s="17" t="s">
        <v>535</v>
      </c>
    </row>
    <row r="92" spans="8:20" x14ac:dyDescent="0.25">
      <c r="H92" s="17"/>
      <c r="I92" s="17" t="s">
        <v>540</v>
      </c>
      <c r="J92" s="17" t="s">
        <v>535</v>
      </c>
      <c r="K92" s="17" t="s">
        <v>535</v>
      </c>
      <c r="L92" s="17"/>
    </row>
    <row r="93" spans="8:20" x14ac:dyDescent="0.25">
      <c r="H93" s="17"/>
      <c r="I93" s="17"/>
      <c r="J93" s="17" t="s">
        <v>540</v>
      </c>
      <c r="K93" s="17" t="s">
        <v>540</v>
      </c>
      <c r="L93" s="17"/>
    </row>
    <row r="94" spans="8:20" x14ac:dyDescent="0.25">
      <c r="H94" s="17"/>
      <c r="I94" s="17"/>
      <c r="J94" s="17" t="s">
        <v>547</v>
      </c>
      <c r="K94" s="17" t="s">
        <v>564</v>
      </c>
      <c r="L94" s="17"/>
    </row>
    <row r="97" spans="8:12" x14ac:dyDescent="0.25">
      <c r="H97" s="17">
        <v>8</v>
      </c>
      <c r="I97" s="17">
        <f>20+4</f>
        <v>24</v>
      </c>
      <c r="J97" s="17">
        <f>20+4</f>
        <v>24</v>
      </c>
      <c r="K97" s="17">
        <f>(40-28)*2</f>
        <v>24</v>
      </c>
      <c r="L97" s="17"/>
    </row>
    <row r="98" spans="8:12" x14ac:dyDescent="0.25">
      <c r="H98" s="17">
        <v>8</v>
      </c>
      <c r="I98" s="18">
        <v>16</v>
      </c>
      <c r="J98" s="17">
        <v>24</v>
      </c>
      <c r="K98" s="17">
        <v>24</v>
      </c>
      <c r="L98" s="17">
        <f>12*2</f>
        <v>24</v>
      </c>
    </row>
    <row r="99" spans="8:12" x14ac:dyDescent="0.25">
      <c r="H99" s="17">
        <v>8</v>
      </c>
      <c r="I99" s="17">
        <v>8</v>
      </c>
      <c r="J99" s="17" t="s">
        <v>538</v>
      </c>
      <c r="K99" s="17">
        <f>12*2</f>
        <v>24</v>
      </c>
      <c r="L99" s="17">
        <f>12*2</f>
        <v>24</v>
      </c>
    </row>
    <row r="100" spans="8:12" x14ac:dyDescent="0.25">
      <c r="H100" s="17">
        <f>(20-32)*2</f>
        <v>-24</v>
      </c>
      <c r="I100" s="17">
        <f>(12-24)*2</f>
        <v>-24</v>
      </c>
      <c r="J100" s="17">
        <v>4</v>
      </c>
      <c r="K100" s="17">
        <f>(12-16)*2</f>
        <v>-8</v>
      </c>
      <c r="L100" s="17">
        <f>(20-24)*2</f>
        <v>-8</v>
      </c>
    </row>
    <row r="101" spans="8:12" x14ac:dyDescent="0.25">
      <c r="H101" s="17"/>
      <c r="I101" s="17">
        <f>(20-32)*2</f>
        <v>-24</v>
      </c>
      <c r="J101" s="17">
        <f>(20-24)*2</f>
        <v>-8</v>
      </c>
      <c r="K101" s="17">
        <f>(20-24)*2</f>
        <v>-8</v>
      </c>
      <c r="L101" s="17"/>
    </row>
    <row r="102" spans="8:12" x14ac:dyDescent="0.25">
      <c r="H102" s="17"/>
      <c r="I102" s="17"/>
      <c r="J102" s="17" t="s">
        <v>540</v>
      </c>
      <c r="K102" s="17" t="s">
        <v>540</v>
      </c>
      <c r="L102" s="17"/>
    </row>
    <row r="103" spans="8:12" x14ac:dyDescent="0.25">
      <c r="H103" s="17"/>
      <c r="I103" s="17"/>
      <c r="J103" s="17" t="s">
        <v>547</v>
      </c>
      <c r="K103" s="17" t="s">
        <v>564</v>
      </c>
      <c r="L103" s="17"/>
    </row>
    <row r="104" spans="8:12" x14ac:dyDescent="0.25">
      <c r="H104">
        <f>SUM(H97:H103)</f>
        <v>0</v>
      </c>
      <c r="I104">
        <f>SUM(I97:I103)</f>
        <v>0</v>
      </c>
      <c r="J104">
        <f>SUM(J97:J101)</f>
        <v>44</v>
      </c>
      <c r="K104">
        <f>SUM(K97:K101)</f>
        <v>56</v>
      </c>
      <c r="L104">
        <f>SUM(L98:L100)</f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opLeftCell="A37" workbookViewId="0">
      <selection activeCell="D1" sqref="D1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10" width="10.7109375" customWidth="1"/>
  </cols>
  <sheetData>
    <row r="1" spans="1:4" x14ac:dyDescent="0.25">
      <c r="A1" t="s">
        <v>362</v>
      </c>
      <c r="D1" t="s">
        <v>473</v>
      </c>
    </row>
    <row r="4" spans="1:4" x14ac:dyDescent="0.25">
      <c r="A4" t="s">
        <v>412</v>
      </c>
    </row>
    <row r="6" spans="1:4" x14ac:dyDescent="0.25">
      <c r="A6" t="s">
        <v>100</v>
      </c>
      <c r="B6">
        <f>122+122+51+134+122+61+119+80+2+133</f>
        <v>946</v>
      </c>
    </row>
    <row r="7" spans="1:4" x14ac:dyDescent="0.25">
      <c r="A7" t="s">
        <v>123</v>
      </c>
      <c r="B7">
        <f>124+82</f>
        <v>206</v>
      </c>
    </row>
    <row r="8" spans="1:4" x14ac:dyDescent="0.25">
      <c r="A8" t="s">
        <v>413</v>
      </c>
      <c r="B8">
        <v>136</v>
      </c>
    </row>
    <row r="9" spans="1:4" x14ac:dyDescent="0.25">
      <c r="A9" t="s">
        <v>448</v>
      </c>
      <c r="B9">
        <v>151</v>
      </c>
    </row>
    <row r="10" spans="1:4" x14ac:dyDescent="0.25">
      <c r="A10" t="s">
        <v>491</v>
      </c>
      <c r="B10">
        <v>147</v>
      </c>
    </row>
    <row r="13" spans="1:4" x14ac:dyDescent="0.25">
      <c r="A13" s="16" t="s">
        <v>371</v>
      </c>
    </row>
    <row r="15" spans="1:4" x14ac:dyDescent="0.25">
      <c r="A15" t="s">
        <v>363</v>
      </c>
    </row>
    <row r="16" spans="1:4" x14ac:dyDescent="0.25">
      <c r="A16" t="s">
        <v>102</v>
      </c>
    </row>
    <row r="18" spans="1:1" x14ac:dyDescent="0.25">
      <c r="A18" t="s">
        <v>364</v>
      </c>
    </row>
    <row r="19" spans="1:1" x14ac:dyDescent="0.25">
      <c r="A19" t="s">
        <v>366</v>
      </c>
    </row>
    <row r="20" spans="1:1" x14ac:dyDescent="0.25">
      <c r="A20" t="s">
        <v>102</v>
      </c>
    </row>
    <row r="22" spans="1:1" x14ac:dyDescent="0.25">
      <c r="A22" t="s">
        <v>365</v>
      </c>
    </row>
    <row r="23" spans="1:1" x14ac:dyDescent="0.25">
      <c r="A23" t="s">
        <v>368</v>
      </c>
    </row>
    <row r="24" spans="1:1" x14ac:dyDescent="0.25">
      <c r="A24" t="s">
        <v>102</v>
      </c>
    </row>
    <row r="26" spans="1:1" x14ac:dyDescent="0.25">
      <c r="A26" t="s">
        <v>474</v>
      </c>
    </row>
    <row r="27" spans="1:1" x14ac:dyDescent="0.25">
      <c r="A27" t="s">
        <v>475</v>
      </c>
    </row>
    <row r="28" spans="1:1" x14ac:dyDescent="0.25">
      <c r="A28" t="s">
        <v>476</v>
      </c>
    </row>
    <row r="31" spans="1:1" x14ac:dyDescent="0.25">
      <c r="A31" s="16" t="s">
        <v>372</v>
      </c>
    </row>
    <row r="33" spans="1:1" x14ac:dyDescent="0.25">
      <c r="A33" t="s">
        <v>365</v>
      </c>
    </row>
    <row r="34" spans="1:1" x14ac:dyDescent="0.25">
      <c r="A34" t="s">
        <v>368</v>
      </c>
    </row>
    <row r="35" spans="1:1" x14ac:dyDescent="0.25">
      <c r="A35" t="s">
        <v>102</v>
      </c>
    </row>
    <row r="37" spans="1:1" x14ac:dyDescent="0.25">
      <c r="A37" t="s">
        <v>474</v>
      </c>
    </row>
    <row r="38" spans="1:1" x14ac:dyDescent="0.25">
      <c r="A38" t="s">
        <v>475</v>
      </c>
    </row>
    <row r="39" spans="1:1" x14ac:dyDescent="0.25">
      <c r="A39" t="s">
        <v>476</v>
      </c>
    </row>
    <row r="42" spans="1:1" x14ac:dyDescent="0.25">
      <c r="A42" s="16" t="s">
        <v>319</v>
      </c>
    </row>
    <row r="44" spans="1:1" x14ac:dyDescent="0.25">
      <c r="A44" t="s">
        <v>480</v>
      </c>
    </row>
    <row r="45" spans="1:1" x14ac:dyDescent="0.25">
      <c r="A45" t="s">
        <v>481</v>
      </c>
    </row>
    <row r="46" spans="1:1" x14ac:dyDescent="0.25">
      <c r="A46" t="s">
        <v>102</v>
      </c>
    </row>
    <row r="48" spans="1:1" x14ac:dyDescent="0.25">
      <c r="A48" t="s">
        <v>477</v>
      </c>
    </row>
    <row r="49" spans="1:1" x14ac:dyDescent="0.25">
      <c r="A49" t="s">
        <v>478</v>
      </c>
    </row>
    <row r="50" spans="1:1" x14ac:dyDescent="0.25">
      <c r="A50" t="s">
        <v>479</v>
      </c>
    </row>
    <row r="53" spans="1:1" x14ac:dyDescent="0.25">
      <c r="A53" s="16" t="s">
        <v>373</v>
      </c>
    </row>
    <row r="55" spans="1:1" x14ac:dyDescent="0.25">
      <c r="A55" t="s">
        <v>474</v>
      </c>
    </row>
    <row r="56" spans="1:1" x14ac:dyDescent="0.25">
      <c r="A56" t="s">
        <v>475</v>
      </c>
    </row>
    <row r="57" spans="1:1" x14ac:dyDescent="0.25">
      <c r="A57" t="s">
        <v>476</v>
      </c>
    </row>
    <row r="60" spans="1:1" x14ac:dyDescent="0.25">
      <c r="A60" s="16" t="s">
        <v>369</v>
      </c>
    </row>
    <row r="62" spans="1:1" x14ac:dyDescent="0.25">
      <c r="A62" t="s">
        <v>375</v>
      </c>
    </row>
    <row r="63" spans="1:1" x14ac:dyDescent="0.25">
      <c r="A63" t="s">
        <v>486</v>
      </c>
    </row>
    <row r="64" spans="1:1" x14ac:dyDescent="0.25">
      <c r="A64" t="s">
        <v>83</v>
      </c>
    </row>
    <row r="67" spans="1:1" x14ac:dyDescent="0.25">
      <c r="A67" s="16" t="s">
        <v>374</v>
      </c>
    </row>
    <row r="69" spans="1:1" x14ac:dyDescent="0.25">
      <c r="A69" t="s">
        <v>376</v>
      </c>
    </row>
    <row r="70" spans="1:1" x14ac:dyDescent="0.25">
      <c r="A70" t="s">
        <v>482</v>
      </c>
    </row>
    <row r="71" spans="1:1" x14ac:dyDescent="0.25">
      <c r="A71" t="s">
        <v>483</v>
      </c>
    </row>
    <row r="74" spans="1:1" x14ac:dyDescent="0.25">
      <c r="A74" t="s">
        <v>286</v>
      </c>
    </row>
    <row r="75" spans="1:1" x14ac:dyDescent="0.25">
      <c r="A75" t="s">
        <v>449</v>
      </c>
    </row>
    <row r="76" spans="1:1" x14ac:dyDescent="0.25">
      <c r="A76" t="s">
        <v>450</v>
      </c>
    </row>
    <row r="79" spans="1:1" x14ac:dyDescent="0.25">
      <c r="A79" t="s">
        <v>451</v>
      </c>
    </row>
    <row r="80" spans="1:1" x14ac:dyDescent="0.25">
      <c r="A80" t="s">
        <v>484</v>
      </c>
    </row>
    <row r="81" spans="1:2" x14ac:dyDescent="0.25">
      <c r="A81" t="s">
        <v>485</v>
      </c>
    </row>
    <row r="84" spans="1:2" x14ac:dyDescent="0.25">
      <c r="A84" t="s">
        <v>490</v>
      </c>
    </row>
    <row r="85" spans="1:2" x14ac:dyDescent="0.25">
      <c r="A85" t="s">
        <v>489</v>
      </c>
    </row>
    <row r="86" spans="1:2" x14ac:dyDescent="0.25">
      <c r="A86" t="s">
        <v>102</v>
      </c>
    </row>
    <row r="89" spans="1:2" x14ac:dyDescent="0.25">
      <c r="A89" t="s">
        <v>459</v>
      </c>
    </row>
    <row r="90" spans="1:2" x14ac:dyDescent="0.25">
      <c r="A90" t="s">
        <v>487</v>
      </c>
    </row>
    <row r="91" spans="1:2" x14ac:dyDescent="0.25">
      <c r="A91" t="s">
        <v>488</v>
      </c>
    </row>
    <row r="94" spans="1:2" x14ac:dyDescent="0.25">
      <c r="A94" t="s">
        <v>99</v>
      </c>
    </row>
    <row r="96" spans="1:2" x14ac:dyDescent="0.25">
      <c r="A96" t="s">
        <v>100</v>
      </c>
      <c r="B96">
        <f>111+111+46+125+111+55+119+73+124</f>
        <v>875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E84" sqref="E84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8" width="10.7109375" customWidth="1"/>
  </cols>
  <sheetData>
    <row r="1" spans="1:4" x14ac:dyDescent="0.25">
      <c r="A1" t="s">
        <v>139</v>
      </c>
      <c r="D1" t="s">
        <v>473</v>
      </c>
    </row>
    <row r="4" spans="1:4" x14ac:dyDescent="0.25">
      <c r="A4" t="s">
        <v>412</v>
      </c>
    </row>
    <row r="6" spans="1:4" x14ac:dyDescent="0.25">
      <c r="A6" t="s">
        <v>100</v>
      </c>
      <c r="B6">
        <f>2+2+44+52+38+30+78+15+71</f>
        <v>332</v>
      </c>
    </row>
    <row r="7" spans="1:4" x14ac:dyDescent="0.25">
      <c r="A7" t="s">
        <v>101</v>
      </c>
      <c r="B7">
        <v>125</v>
      </c>
    </row>
    <row r="8" spans="1:4" x14ac:dyDescent="0.25">
      <c r="A8" t="s">
        <v>123</v>
      </c>
      <c r="B8">
        <v>270</v>
      </c>
    </row>
    <row r="9" spans="1:4" x14ac:dyDescent="0.25">
      <c r="A9" t="s">
        <v>448</v>
      </c>
      <c r="B9">
        <v>200</v>
      </c>
    </row>
    <row r="10" spans="1:4" x14ac:dyDescent="0.25">
      <c r="A10" t="s">
        <v>491</v>
      </c>
      <c r="B10">
        <v>51</v>
      </c>
    </row>
    <row r="13" spans="1:4" x14ac:dyDescent="0.25">
      <c r="A13" t="s">
        <v>126</v>
      </c>
    </row>
    <row r="14" spans="1:4" x14ac:dyDescent="0.25">
      <c r="A14" t="s">
        <v>127</v>
      </c>
    </row>
    <row r="15" spans="1:4" x14ac:dyDescent="0.25">
      <c r="A15" t="s">
        <v>102</v>
      </c>
      <c r="D15" t="s">
        <v>386</v>
      </c>
    </row>
    <row r="18" spans="1:1" x14ac:dyDescent="0.25">
      <c r="A18" t="s">
        <v>128</v>
      </c>
    </row>
    <row r="19" spans="1:1" x14ac:dyDescent="0.25">
      <c r="A19" t="s">
        <v>415</v>
      </c>
    </row>
    <row r="20" spans="1:1" x14ac:dyDescent="0.25">
      <c r="A20" t="s">
        <v>102</v>
      </c>
    </row>
    <row r="23" spans="1:1" x14ac:dyDescent="0.25">
      <c r="A23" t="s">
        <v>129</v>
      </c>
    </row>
    <row r="24" spans="1:1" x14ac:dyDescent="0.25">
      <c r="A24" t="s">
        <v>380</v>
      </c>
    </row>
    <row r="25" spans="1:1" x14ac:dyDescent="0.25">
      <c r="A25" t="s">
        <v>370</v>
      </c>
    </row>
    <row r="28" spans="1:1" x14ac:dyDescent="0.25">
      <c r="A28" t="s">
        <v>131</v>
      </c>
    </row>
    <row r="29" spans="1:1" x14ac:dyDescent="0.25">
      <c r="A29" t="s">
        <v>380</v>
      </c>
    </row>
    <row r="30" spans="1:1" x14ac:dyDescent="0.25">
      <c r="A30" t="s">
        <v>370</v>
      </c>
    </row>
    <row r="33" spans="1:1" x14ac:dyDescent="0.25">
      <c r="A33" t="s">
        <v>133</v>
      </c>
    </row>
    <row r="34" spans="1:1" x14ac:dyDescent="0.25">
      <c r="A34" t="s">
        <v>256</v>
      </c>
    </row>
    <row r="35" spans="1:1" x14ac:dyDescent="0.25">
      <c r="A35" t="s">
        <v>84</v>
      </c>
    </row>
    <row r="38" spans="1:1" x14ac:dyDescent="0.25">
      <c r="A38" t="s">
        <v>135</v>
      </c>
    </row>
    <row r="39" spans="1:1" x14ac:dyDescent="0.25">
      <c r="A39" t="s">
        <v>257</v>
      </c>
    </row>
    <row r="40" spans="1:1" x14ac:dyDescent="0.25">
      <c r="A40" t="s">
        <v>104</v>
      </c>
    </row>
    <row r="43" spans="1:1" x14ac:dyDescent="0.25">
      <c r="A43" t="s">
        <v>114</v>
      </c>
    </row>
    <row r="44" spans="1:1" x14ac:dyDescent="0.25">
      <c r="A44" t="s">
        <v>381</v>
      </c>
    </row>
    <row r="45" spans="1:1" x14ac:dyDescent="0.25">
      <c r="A45" t="s">
        <v>382</v>
      </c>
    </row>
    <row r="48" spans="1:1" x14ac:dyDescent="0.25">
      <c r="A48" t="s">
        <v>118</v>
      </c>
    </row>
    <row r="49" spans="1:1" x14ac:dyDescent="0.25">
      <c r="A49" t="s">
        <v>383</v>
      </c>
    </row>
    <row r="50" spans="1:1" x14ac:dyDescent="0.25">
      <c r="A50" t="s">
        <v>280</v>
      </c>
    </row>
    <row r="53" spans="1:1" x14ac:dyDescent="0.25">
      <c r="A53" t="s">
        <v>136</v>
      </c>
    </row>
    <row r="54" spans="1:1" x14ac:dyDescent="0.25">
      <c r="A54" t="s">
        <v>384</v>
      </c>
    </row>
    <row r="55" spans="1:1" x14ac:dyDescent="0.25">
      <c r="A55" t="s">
        <v>385</v>
      </c>
    </row>
    <row r="58" spans="1:1" x14ac:dyDescent="0.25">
      <c r="A58" t="s">
        <v>137</v>
      </c>
    </row>
    <row r="59" spans="1:1" x14ac:dyDescent="0.25">
      <c r="A59" t="s">
        <v>138</v>
      </c>
    </row>
    <row r="60" spans="1:1" x14ac:dyDescent="0.25">
      <c r="A60" t="s">
        <v>492</v>
      </c>
    </row>
    <row r="61" spans="1:1" x14ac:dyDescent="0.25">
      <c r="A61" t="s">
        <v>493</v>
      </c>
    </row>
    <row r="64" spans="1:1" x14ac:dyDescent="0.25">
      <c r="A64" t="s">
        <v>99</v>
      </c>
    </row>
    <row r="66" spans="1:5" x14ac:dyDescent="0.25">
      <c r="A66" t="s">
        <v>100</v>
      </c>
      <c r="B66">
        <f>1+1+44+51+35+29+75+15+65</f>
        <v>316</v>
      </c>
    </row>
    <row r="67" spans="1:5" x14ac:dyDescent="0.25">
      <c r="A67" t="s">
        <v>101</v>
      </c>
      <c r="B67">
        <v>125</v>
      </c>
    </row>
    <row r="70" spans="1:5" x14ac:dyDescent="0.25">
      <c r="A70" t="s">
        <v>166</v>
      </c>
    </row>
    <row r="72" spans="1:5" x14ac:dyDescent="0.25">
      <c r="A72" t="s">
        <v>162</v>
      </c>
      <c r="B72">
        <v>5663</v>
      </c>
    </row>
    <row r="73" spans="1:5" x14ac:dyDescent="0.25">
      <c r="A73" t="s">
        <v>163</v>
      </c>
      <c r="B73">
        <v>400</v>
      </c>
      <c r="C73" s="8">
        <v>0.33300000000000002</v>
      </c>
      <c r="D73" t="s">
        <v>167</v>
      </c>
      <c r="E73">
        <f>B73*C73+B74*C74</f>
        <v>216.70000000000002</v>
      </c>
    </row>
    <row r="74" spans="1:5" x14ac:dyDescent="0.25">
      <c r="A74" t="s">
        <v>164</v>
      </c>
      <c r="B74">
        <v>500</v>
      </c>
      <c r="C74" s="8">
        <v>0.16700000000000001</v>
      </c>
      <c r="D74" t="s">
        <v>173</v>
      </c>
      <c r="E74">
        <f>B72/(B66+B67)</f>
        <v>12.841269841269842</v>
      </c>
    </row>
    <row r="75" spans="1:5" x14ac:dyDescent="0.25">
      <c r="A75" t="s">
        <v>169</v>
      </c>
      <c r="B75" t="s">
        <v>170</v>
      </c>
      <c r="C75" s="8">
        <v>0.23100000000000001</v>
      </c>
      <c r="D75" t="s">
        <v>172</v>
      </c>
      <c r="E75">
        <f>E73/(B66+B67)</f>
        <v>0.49138321995464856</v>
      </c>
    </row>
    <row r="76" spans="1:5" x14ac:dyDescent="0.25">
      <c r="A76" t="s">
        <v>174</v>
      </c>
      <c r="B76">
        <v>500</v>
      </c>
      <c r="C76" s="8">
        <v>0.23300000000000001</v>
      </c>
      <c r="D76" t="s">
        <v>183</v>
      </c>
      <c r="E76">
        <f>225*C75+B76*C76</f>
        <v>168.47499999999999</v>
      </c>
    </row>
    <row r="77" spans="1:5" x14ac:dyDescent="0.25">
      <c r="D77" t="s">
        <v>189</v>
      </c>
      <c r="E77">
        <f>E76/(B66+B67)</f>
        <v>0.38202947845804985</v>
      </c>
    </row>
    <row r="78" spans="1:5" x14ac:dyDescent="0.25">
      <c r="D78" t="s">
        <v>190</v>
      </c>
      <c r="E78">
        <f>E77+E75*1.8</f>
        <v>1.2665192743764173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A61" sqref="A61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202</v>
      </c>
      <c r="D1" t="s">
        <v>473</v>
      </c>
    </row>
    <row r="4" spans="1:4" x14ac:dyDescent="0.25">
      <c r="A4" t="s">
        <v>412</v>
      </c>
    </row>
    <row r="6" spans="1:4" x14ac:dyDescent="0.25">
      <c r="A6" t="s">
        <v>100</v>
      </c>
      <c r="B6">
        <f>75+48+22+94</f>
        <v>239</v>
      </c>
    </row>
    <row r="7" spans="1:4" x14ac:dyDescent="0.25">
      <c r="A7" t="s">
        <v>123</v>
      </c>
      <c r="B7">
        <v>270</v>
      </c>
    </row>
    <row r="8" spans="1:4" x14ac:dyDescent="0.25">
      <c r="A8" t="s">
        <v>534</v>
      </c>
      <c r="B8">
        <v>5</v>
      </c>
    </row>
    <row r="9" spans="1:4" x14ac:dyDescent="0.25">
      <c r="A9" t="s">
        <v>448</v>
      </c>
      <c r="B9">
        <v>250</v>
      </c>
      <c r="C9" t="s">
        <v>533</v>
      </c>
    </row>
    <row r="10" spans="1:4" x14ac:dyDescent="0.25">
      <c r="A10" t="s">
        <v>491</v>
      </c>
      <c r="B10">
        <v>154</v>
      </c>
    </row>
    <row r="15" spans="1:4" x14ac:dyDescent="0.25">
      <c r="A15" t="s">
        <v>126</v>
      </c>
    </row>
    <row r="16" spans="1:4" x14ac:dyDescent="0.25">
      <c r="A16" t="s">
        <v>415</v>
      </c>
    </row>
    <row r="17" spans="1:9" x14ac:dyDescent="0.25">
      <c r="A17" t="s">
        <v>102</v>
      </c>
    </row>
    <row r="20" spans="1:9" x14ac:dyDescent="0.25">
      <c r="A20" t="s">
        <v>364</v>
      </c>
      <c r="B20" t="s">
        <v>417</v>
      </c>
      <c r="D20" t="s">
        <v>426</v>
      </c>
    </row>
    <row r="21" spans="1:9" x14ac:dyDescent="0.25">
      <c r="A21" t="s">
        <v>416</v>
      </c>
    </row>
    <row r="22" spans="1:9" x14ac:dyDescent="0.25">
      <c r="A22" t="s">
        <v>102</v>
      </c>
    </row>
    <row r="24" spans="1:9" x14ac:dyDescent="0.25">
      <c r="A24" t="s">
        <v>418</v>
      </c>
    </row>
    <row r="25" spans="1:9" x14ac:dyDescent="0.25">
      <c r="A25" t="s">
        <v>419</v>
      </c>
    </row>
    <row r="26" spans="1:9" x14ac:dyDescent="0.25">
      <c r="A26" t="s">
        <v>146</v>
      </c>
    </row>
    <row r="29" spans="1:9" x14ac:dyDescent="0.25">
      <c r="A29" t="s">
        <v>420</v>
      </c>
      <c r="B29" t="s">
        <v>417</v>
      </c>
      <c r="D29" t="s">
        <v>425</v>
      </c>
      <c r="I29">
        <v>38</v>
      </c>
    </row>
    <row r="30" spans="1:9" x14ac:dyDescent="0.25">
      <c r="A30" t="s">
        <v>421</v>
      </c>
    </row>
    <row r="31" spans="1:9" x14ac:dyDescent="0.25">
      <c r="A31" t="s">
        <v>102</v>
      </c>
    </row>
    <row r="33" spans="1:4" x14ac:dyDescent="0.25">
      <c r="A33" t="s">
        <v>422</v>
      </c>
      <c r="B33" t="s">
        <v>424</v>
      </c>
      <c r="D33" t="s">
        <v>427</v>
      </c>
    </row>
    <row r="34" spans="1:4" x14ac:dyDescent="0.25">
      <c r="A34" t="s">
        <v>423</v>
      </c>
    </row>
    <row r="35" spans="1:4" x14ac:dyDescent="0.25">
      <c r="A35" t="s">
        <v>102</v>
      </c>
    </row>
    <row r="37" spans="1:4" x14ac:dyDescent="0.25">
      <c r="A37" t="s">
        <v>135</v>
      </c>
    </row>
    <row r="38" spans="1:4" x14ac:dyDescent="0.25">
      <c r="A38" t="s">
        <v>523</v>
      </c>
    </row>
    <row r="39" spans="1:4" x14ac:dyDescent="0.25">
      <c r="A39" t="s">
        <v>84</v>
      </c>
    </row>
    <row r="42" spans="1:4" x14ac:dyDescent="0.25">
      <c r="A42" t="s">
        <v>203</v>
      </c>
    </row>
    <row r="43" spans="1:4" x14ac:dyDescent="0.25">
      <c r="A43" t="s">
        <v>524</v>
      </c>
    </row>
    <row r="44" spans="1:4" x14ac:dyDescent="0.25">
      <c r="A44" t="s">
        <v>204</v>
      </c>
    </row>
    <row r="47" spans="1:4" x14ac:dyDescent="0.25">
      <c r="A47" t="s">
        <v>525</v>
      </c>
      <c r="B47" t="s">
        <v>528</v>
      </c>
    </row>
    <row r="48" spans="1:4" x14ac:dyDescent="0.25">
      <c r="A48" t="s">
        <v>527</v>
      </c>
    </row>
    <row r="49" spans="1:2" x14ac:dyDescent="0.25">
      <c r="A49" t="s">
        <v>102</v>
      </c>
    </row>
    <row r="51" spans="1:2" x14ac:dyDescent="0.25">
      <c r="A51" t="s">
        <v>526</v>
      </c>
      <c r="B51" t="s">
        <v>461</v>
      </c>
    </row>
    <row r="52" spans="1:2" x14ac:dyDescent="0.25">
      <c r="A52" t="s">
        <v>529</v>
      </c>
    </row>
    <row r="53" spans="1:2" x14ac:dyDescent="0.25">
      <c r="A53" t="s">
        <v>102</v>
      </c>
    </row>
    <row r="55" spans="1:2" x14ac:dyDescent="0.25">
      <c r="A55" t="s">
        <v>531</v>
      </c>
      <c r="B55" t="s">
        <v>461</v>
      </c>
    </row>
    <row r="56" spans="1:2" x14ac:dyDescent="0.25">
      <c r="A56" t="s">
        <v>530</v>
      </c>
    </row>
    <row r="57" spans="1:2" x14ac:dyDescent="0.25">
      <c r="A57" t="s">
        <v>102</v>
      </c>
    </row>
    <row r="60" spans="1:2" x14ac:dyDescent="0.25">
      <c r="A60" t="s">
        <v>532</v>
      </c>
    </row>
    <row r="61" spans="1:2" x14ac:dyDescent="0.25">
      <c r="A61" t="s">
        <v>521</v>
      </c>
    </row>
    <row r="62" spans="1:2" x14ac:dyDescent="0.25">
      <c r="A62" t="s">
        <v>522</v>
      </c>
    </row>
    <row r="65" spans="1:2" x14ac:dyDescent="0.25">
      <c r="A65" t="s">
        <v>99</v>
      </c>
    </row>
    <row r="67" spans="1:2" x14ac:dyDescent="0.25">
      <c r="A67" t="s">
        <v>100</v>
      </c>
      <c r="B67">
        <f>68+44+17+90</f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A50" sqref="A50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14" width="10.7109375" customWidth="1"/>
  </cols>
  <sheetData>
    <row r="1" spans="1:4" x14ac:dyDescent="0.25">
      <c r="A1" t="s">
        <v>565</v>
      </c>
      <c r="D1" t="s">
        <v>473</v>
      </c>
    </row>
    <row r="4" spans="1:4" x14ac:dyDescent="0.25">
      <c r="A4" t="s">
        <v>412</v>
      </c>
    </row>
    <row r="6" spans="1:4" x14ac:dyDescent="0.25">
      <c r="A6" t="s">
        <v>100</v>
      </c>
      <c r="B6">
        <f>47+63+57+60+77+104+82</f>
        <v>490</v>
      </c>
    </row>
    <row r="7" spans="1:4" x14ac:dyDescent="0.25">
      <c r="A7" t="s">
        <v>123</v>
      </c>
      <c r="B7">
        <v>277</v>
      </c>
    </row>
    <row r="8" spans="1:4" x14ac:dyDescent="0.25">
      <c r="A8" t="s">
        <v>413</v>
      </c>
      <c r="B8">
        <v>99</v>
      </c>
    </row>
    <row r="9" spans="1:4" x14ac:dyDescent="0.25">
      <c r="A9" t="s">
        <v>448</v>
      </c>
      <c r="B9">
        <v>26</v>
      </c>
    </row>
    <row r="10" spans="1:4" x14ac:dyDescent="0.25">
      <c r="A10" t="s">
        <v>491</v>
      </c>
      <c r="B10">
        <v>92</v>
      </c>
    </row>
    <row r="13" spans="1:4" x14ac:dyDescent="0.25">
      <c r="A13" s="16" t="s">
        <v>572</v>
      </c>
    </row>
    <row r="15" spans="1:4" x14ac:dyDescent="0.25">
      <c r="A15" t="s">
        <v>566</v>
      </c>
    </row>
    <row r="16" spans="1:4" x14ac:dyDescent="0.25">
      <c r="A16" t="s">
        <v>571</v>
      </c>
    </row>
    <row r="18" spans="1:1" x14ac:dyDescent="0.25">
      <c r="A18" t="s">
        <v>567</v>
      </c>
    </row>
    <row r="19" spans="1:1" x14ac:dyDescent="0.25">
      <c r="A19" t="s">
        <v>568</v>
      </c>
    </row>
    <row r="20" spans="1:1" x14ac:dyDescent="0.25">
      <c r="A20" t="s">
        <v>569</v>
      </c>
    </row>
    <row r="21" spans="1:1" x14ac:dyDescent="0.25">
      <c r="A21" t="s">
        <v>570</v>
      </c>
    </row>
    <row r="24" spans="1:1" x14ac:dyDescent="0.25">
      <c r="A24" s="16" t="s">
        <v>573</v>
      </c>
    </row>
    <row r="25" spans="1:1" x14ac:dyDescent="0.25">
      <c r="A25" s="16"/>
    </row>
    <row r="26" spans="1:1" x14ac:dyDescent="0.25">
      <c r="A26" t="s">
        <v>574</v>
      </c>
    </row>
    <row r="27" spans="1:1" x14ac:dyDescent="0.25">
      <c r="A27" t="s">
        <v>104</v>
      </c>
    </row>
    <row r="30" spans="1:1" x14ac:dyDescent="0.25">
      <c r="A30" s="16" t="s">
        <v>575</v>
      </c>
    </row>
    <row r="32" spans="1:1" x14ac:dyDescent="0.25">
      <c r="A32" t="s">
        <v>566</v>
      </c>
    </row>
    <row r="33" spans="1:1" x14ac:dyDescent="0.25">
      <c r="A33" t="s">
        <v>579</v>
      </c>
    </row>
    <row r="35" spans="1:1" x14ac:dyDescent="0.25">
      <c r="A35" t="s">
        <v>567</v>
      </c>
    </row>
    <row r="36" spans="1:1" x14ac:dyDescent="0.25">
      <c r="A36" t="s">
        <v>576</v>
      </c>
    </row>
    <row r="37" spans="1:1" x14ac:dyDescent="0.25">
      <c r="A37" t="s">
        <v>577</v>
      </c>
    </row>
    <row r="38" spans="1:1" x14ac:dyDescent="0.25">
      <c r="A38" t="s">
        <v>578</v>
      </c>
    </row>
    <row r="41" spans="1:1" x14ac:dyDescent="0.25">
      <c r="A41" s="16" t="s">
        <v>580</v>
      </c>
    </row>
    <row r="43" spans="1:1" x14ac:dyDescent="0.25">
      <c r="A43" t="s">
        <v>582</v>
      </c>
    </row>
    <row r="44" spans="1:1" x14ac:dyDescent="0.25">
      <c r="A44" t="s">
        <v>581</v>
      </c>
    </row>
    <row r="45" spans="1:1" x14ac:dyDescent="0.25">
      <c r="A45" t="s">
        <v>583</v>
      </c>
    </row>
    <row r="48" spans="1:1" x14ac:dyDescent="0.25">
      <c r="A48" s="16" t="s">
        <v>584</v>
      </c>
    </row>
    <row r="50" spans="1:2" x14ac:dyDescent="0.25">
      <c r="A50" t="s">
        <v>585</v>
      </c>
    </row>
    <row r="51" spans="1:2" x14ac:dyDescent="0.25">
      <c r="A51" t="s">
        <v>485</v>
      </c>
    </row>
    <row r="54" spans="1:2" x14ac:dyDescent="0.25">
      <c r="A54" t="s">
        <v>99</v>
      </c>
    </row>
    <row r="56" spans="1:2" x14ac:dyDescent="0.25">
      <c r="A56" t="s">
        <v>100</v>
      </c>
      <c r="B56">
        <f>47+56+51+60+70+89+73</f>
        <v>446</v>
      </c>
    </row>
    <row r="57" spans="1:2" x14ac:dyDescent="0.25">
      <c r="A57" t="s">
        <v>123</v>
      </c>
      <c r="B57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workbookViewId="0">
      <selection activeCell="D14" sqref="D14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8" width="10.7109375" customWidth="1"/>
  </cols>
  <sheetData>
    <row r="1" spans="1:4" x14ac:dyDescent="0.25">
      <c r="A1" t="s">
        <v>586</v>
      </c>
      <c r="D1" t="s">
        <v>473</v>
      </c>
    </row>
    <row r="4" spans="1:4" x14ac:dyDescent="0.25">
      <c r="A4" t="s">
        <v>412</v>
      </c>
    </row>
    <row r="6" spans="1:4" x14ac:dyDescent="0.25">
      <c r="A6" t="s">
        <v>100</v>
      </c>
      <c r="B6">
        <v>103</v>
      </c>
    </row>
    <row r="7" spans="1:4" x14ac:dyDescent="0.25">
      <c r="A7" t="s">
        <v>144</v>
      </c>
      <c r="B7">
        <f>31+54+70</f>
        <v>155</v>
      </c>
    </row>
    <row r="8" spans="1:4" x14ac:dyDescent="0.25">
      <c r="A8" t="s">
        <v>624</v>
      </c>
      <c r="B8">
        <v>378</v>
      </c>
    </row>
    <row r="9" spans="1:4" x14ac:dyDescent="0.25">
      <c r="A9" t="s">
        <v>448</v>
      </c>
      <c r="B9">
        <v>331</v>
      </c>
    </row>
    <row r="10" spans="1:4" x14ac:dyDescent="0.25">
      <c r="A10" t="s">
        <v>123</v>
      </c>
      <c r="B10">
        <v>320</v>
      </c>
    </row>
    <row r="11" spans="1:4" x14ac:dyDescent="0.25">
      <c r="A11" t="s">
        <v>413</v>
      </c>
      <c r="B11">
        <v>237</v>
      </c>
    </row>
    <row r="12" spans="1:4" x14ac:dyDescent="0.25">
      <c r="B12">
        <f>SUM(B6:B11)</f>
        <v>1524</v>
      </c>
    </row>
    <row r="15" spans="1:4" x14ac:dyDescent="0.25">
      <c r="A15" s="16" t="s">
        <v>635</v>
      </c>
    </row>
    <row r="17" spans="1:1" x14ac:dyDescent="0.25">
      <c r="A17" t="s">
        <v>587</v>
      </c>
    </row>
    <row r="18" spans="1:1" x14ac:dyDescent="0.25">
      <c r="A18" t="s">
        <v>588</v>
      </c>
    </row>
    <row r="19" spans="1:1" x14ac:dyDescent="0.25">
      <c r="A19" t="s">
        <v>102</v>
      </c>
    </row>
    <row r="22" spans="1:1" x14ac:dyDescent="0.25">
      <c r="A22" t="s">
        <v>589</v>
      </c>
    </row>
    <row r="23" spans="1:1" x14ac:dyDescent="0.25">
      <c r="A23" t="s">
        <v>605</v>
      </c>
    </row>
    <row r="24" spans="1:1" x14ac:dyDescent="0.25">
      <c r="A24" t="s">
        <v>102</v>
      </c>
    </row>
    <row r="27" spans="1:1" x14ac:dyDescent="0.25">
      <c r="A27" t="s">
        <v>474</v>
      </c>
    </row>
    <row r="28" spans="1:1" x14ac:dyDescent="0.25">
      <c r="A28" t="s">
        <v>590</v>
      </c>
    </row>
    <row r="29" spans="1:1" x14ac:dyDescent="0.25">
      <c r="A29" t="s">
        <v>591</v>
      </c>
    </row>
    <row r="32" spans="1:1" x14ac:dyDescent="0.25">
      <c r="A32" s="16" t="s">
        <v>636</v>
      </c>
    </row>
    <row r="34" spans="1:5" x14ac:dyDescent="0.25">
      <c r="A34" t="s">
        <v>422</v>
      </c>
      <c r="B34" t="s">
        <v>593</v>
      </c>
      <c r="D34">
        <f>72+100+128</f>
        <v>300</v>
      </c>
      <c r="E34" t="s">
        <v>625</v>
      </c>
    </row>
    <row r="35" spans="1:5" x14ac:dyDescent="0.25">
      <c r="A35" t="s">
        <v>592</v>
      </c>
      <c r="D35">
        <v>237</v>
      </c>
      <c r="E35" t="s">
        <v>632</v>
      </c>
    </row>
    <row r="36" spans="1:5" x14ac:dyDescent="0.25">
      <c r="A36" t="s">
        <v>102</v>
      </c>
    </row>
    <row r="38" spans="1:5" x14ac:dyDescent="0.25">
      <c r="A38" t="s">
        <v>594</v>
      </c>
      <c r="B38" t="s">
        <v>596</v>
      </c>
    </row>
    <row r="39" spans="1:5" x14ac:dyDescent="0.25">
      <c r="A39" t="s">
        <v>595</v>
      </c>
    </row>
    <row r="40" spans="1:5" x14ac:dyDescent="0.25">
      <c r="A40" t="s">
        <v>102</v>
      </c>
    </row>
    <row r="42" spans="1:5" x14ac:dyDescent="0.25">
      <c r="A42" t="s">
        <v>463</v>
      </c>
      <c r="B42" t="s">
        <v>367</v>
      </c>
    </row>
    <row r="43" spans="1:5" x14ac:dyDescent="0.25">
      <c r="A43" t="s">
        <v>616</v>
      </c>
    </row>
    <row r="44" spans="1:5" x14ac:dyDescent="0.25">
      <c r="A44" t="s">
        <v>102</v>
      </c>
    </row>
    <row r="46" spans="1:5" x14ac:dyDescent="0.25">
      <c r="A46" t="s">
        <v>597</v>
      </c>
    </row>
    <row r="47" spans="1:5" x14ac:dyDescent="0.25">
      <c r="A47" t="s">
        <v>598</v>
      </c>
    </row>
    <row r="48" spans="1:5" x14ac:dyDescent="0.25">
      <c r="A48" t="s">
        <v>599</v>
      </c>
    </row>
    <row r="51" spans="1:4" x14ac:dyDescent="0.25">
      <c r="A51" s="16" t="s">
        <v>637</v>
      </c>
    </row>
    <row r="53" spans="1:4" x14ac:dyDescent="0.25">
      <c r="A53" t="s">
        <v>600</v>
      </c>
    </row>
    <row r="54" spans="1:4" x14ac:dyDescent="0.25">
      <c r="A54" t="s">
        <v>601</v>
      </c>
    </row>
    <row r="55" spans="1:4" x14ac:dyDescent="0.25">
      <c r="A55" t="s">
        <v>102</v>
      </c>
    </row>
    <row r="58" spans="1:4" x14ac:dyDescent="0.25">
      <c r="A58" s="16" t="s">
        <v>638</v>
      </c>
    </row>
    <row r="60" spans="1:4" x14ac:dyDescent="0.25">
      <c r="A60" t="s">
        <v>602</v>
      </c>
      <c r="B60" t="s">
        <v>593</v>
      </c>
      <c r="D60" t="s">
        <v>634</v>
      </c>
    </row>
    <row r="61" spans="1:4" x14ac:dyDescent="0.25">
      <c r="A61" t="s">
        <v>603</v>
      </c>
    </row>
    <row r="62" spans="1:4" x14ac:dyDescent="0.25">
      <c r="A62" t="s">
        <v>102</v>
      </c>
    </row>
    <row r="64" spans="1:4" x14ac:dyDescent="0.25">
      <c r="A64" t="s">
        <v>498</v>
      </c>
      <c r="B64" t="s">
        <v>593</v>
      </c>
    </row>
    <row r="65" spans="1:5" x14ac:dyDescent="0.25">
      <c r="A65" t="s">
        <v>603</v>
      </c>
    </row>
    <row r="66" spans="1:5" x14ac:dyDescent="0.25">
      <c r="A66" t="s">
        <v>102</v>
      </c>
    </row>
    <row r="68" spans="1:5" x14ac:dyDescent="0.25">
      <c r="A68" t="s">
        <v>376</v>
      </c>
    </row>
    <row r="69" spans="1:5" x14ac:dyDescent="0.25">
      <c r="A69" t="s">
        <v>604</v>
      </c>
    </row>
    <row r="70" spans="1:5" x14ac:dyDescent="0.25">
      <c r="A70" t="s">
        <v>83</v>
      </c>
    </row>
    <row r="73" spans="1:5" x14ac:dyDescent="0.25">
      <c r="A73" s="16" t="s">
        <v>639</v>
      </c>
    </row>
    <row r="75" spans="1:5" x14ac:dyDescent="0.25">
      <c r="A75" t="s">
        <v>612</v>
      </c>
      <c r="B75" t="s">
        <v>596</v>
      </c>
    </row>
    <row r="76" spans="1:5" x14ac:dyDescent="0.25">
      <c r="A76" t="s">
        <v>611</v>
      </c>
    </row>
    <row r="77" spans="1:5" x14ac:dyDescent="0.25">
      <c r="A77" t="s">
        <v>102</v>
      </c>
    </row>
    <row r="79" spans="1:5" x14ac:dyDescent="0.25">
      <c r="A79" t="s">
        <v>606</v>
      </c>
      <c r="B79" t="s">
        <v>596</v>
      </c>
      <c r="D79">
        <f>72+136+105+17+1</f>
        <v>331</v>
      </c>
      <c r="E79" t="s">
        <v>630</v>
      </c>
    </row>
    <row r="80" spans="1:5" x14ac:dyDescent="0.25">
      <c r="A80" t="s">
        <v>607</v>
      </c>
      <c r="D80">
        <f>64+95+83</f>
        <v>242</v>
      </c>
      <c r="E80" t="s">
        <v>631</v>
      </c>
    </row>
    <row r="81" spans="1:5" x14ac:dyDescent="0.25">
      <c r="A81" t="s">
        <v>102</v>
      </c>
      <c r="D81">
        <f>108</f>
        <v>108</v>
      </c>
      <c r="E81" t="s">
        <v>632</v>
      </c>
    </row>
    <row r="82" spans="1:5" x14ac:dyDescent="0.25">
      <c r="D82">
        <f>110+100+110</f>
        <v>320</v>
      </c>
      <c r="E82" t="s">
        <v>633</v>
      </c>
    </row>
    <row r="83" spans="1:5" x14ac:dyDescent="0.25">
      <c r="A83" t="s">
        <v>609</v>
      </c>
      <c r="B83" t="s">
        <v>596</v>
      </c>
    </row>
    <row r="84" spans="1:5" x14ac:dyDescent="0.25">
      <c r="A84" t="s">
        <v>610</v>
      </c>
    </row>
    <row r="85" spans="1:5" x14ac:dyDescent="0.25">
      <c r="A85" t="s">
        <v>102</v>
      </c>
    </row>
    <row r="87" spans="1:5" x14ac:dyDescent="0.25">
      <c r="A87" t="s">
        <v>490</v>
      </c>
      <c r="B87" t="s">
        <v>596</v>
      </c>
    </row>
    <row r="88" spans="1:5" x14ac:dyDescent="0.25">
      <c r="A88" t="s">
        <v>608</v>
      </c>
    </row>
    <row r="89" spans="1:5" x14ac:dyDescent="0.25">
      <c r="A89" t="s">
        <v>102</v>
      </c>
    </row>
    <row r="91" spans="1:5" x14ac:dyDescent="0.25">
      <c r="A91" t="s">
        <v>613</v>
      </c>
    </row>
    <row r="92" spans="1:5" x14ac:dyDescent="0.25">
      <c r="A92" t="s">
        <v>614</v>
      </c>
    </row>
    <row r="93" spans="1:5" x14ac:dyDescent="0.25">
      <c r="A93" t="s">
        <v>615</v>
      </c>
    </row>
    <row r="96" spans="1:5" x14ac:dyDescent="0.25">
      <c r="A96" t="s">
        <v>617</v>
      </c>
      <c r="B96" t="s">
        <v>593</v>
      </c>
    </row>
    <row r="97" spans="1:5" x14ac:dyDescent="0.25">
      <c r="A97" t="s">
        <v>626</v>
      </c>
    </row>
    <row r="98" spans="1:5" x14ac:dyDescent="0.25">
      <c r="A98" t="s">
        <v>102</v>
      </c>
    </row>
    <row r="100" spans="1:5" x14ac:dyDescent="0.25">
      <c r="A100" t="s">
        <v>618</v>
      </c>
      <c r="B100" t="s">
        <v>596</v>
      </c>
      <c r="D100">
        <v>325</v>
      </c>
      <c r="E100" t="s">
        <v>630</v>
      </c>
    </row>
    <row r="101" spans="1:5" x14ac:dyDescent="0.25">
      <c r="A101" t="s">
        <v>627</v>
      </c>
      <c r="D101">
        <f>27+98+135+118</f>
        <v>378</v>
      </c>
      <c r="E101" t="s">
        <v>631</v>
      </c>
    </row>
    <row r="102" spans="1:5" x14ac:dyDescent="0.25">
      <c r="A102" t="s">
        <v>102</v>
      </c>
      <c r="D102">
        <f>5+5+15+199</f>
        <v>224</v>
      </c>
      <c r="E102" t="s">
        <v>632</v>
      </c>
    </row>
    <row r="103" spans="1:5" x14ac:dyDescent="0.25">
      <c r="D103">
        <f>53+20</f>
        <v>73</v>
      </c>
      <c r="E103" t="s">
        <v>633</v>
      </c>
    </row>
    <row r="104" spans="1:5" x14ac:dyDescent="0.25">
      <c r="A104" t="s">
        <v>619</v>
      </c>
      <c r="B104" t="s">
        <v>367</v>
      </c>
    </row>
    <row r="105" spans="1:5" x14ac:dyDescent="0.25">
      <c r="A105" t="s">
        <v>629</v>
      </c>
    </row>
    <row r="106" spans="1:5" x14ac:dyDescent="0.25">
      <c r="A106" t="s">
        <v>102</v>
      </c>
    </row>
    <row r="108" spans="1:5" x14ac:dyDescent="0.25">
      <c r="A108" t="s">
        <v>620</v>
      </c>
      <c r="B108" t="s">
        <v>461</v>
      </c>
    </row>
    <row r="109" spans="1:5" x14ac:dyDescent="0.25">
      <c r="A109" t="s">
        <v>628</v>
      </c>
    </row>
    <row r="110" spans="1:5" x14ac:dyDescent="0.25">
      <c r="A110" t="s">
        <v>102</v>
      </c>
    </row>
    <row r="112" spans="1:5" x14ac:dyDescent="0.25">
      <c r="A112" t="s">
        <v>621</v>
      </c>
    </row>
    <row r="113" spans="1:2" x14ac:dyDescent="0.25">
      <c r="A113" t="s">
        <v>622</v>
      </c>
    </row>
    <row r="114" spans="1:2" x14ac:dyDescent="0.25">
      <c r="A114" t="s">
        <v>623</v>
      </c>
    </row>
    <row r="117" spans="1:2" x14ac:dyDescent="0.25">
      <c r="A117" t="s">
        <v>99</v>
      </c>
    </row>
    <row r="119" spans="1:2" x14ac:dyDescent="0.25">
      <c r="A119" t="s">
        <v>100</v>
      </c>
      <c r="B119">
        <f>45+46</f>
        <v>91</v>
      </c>
    </row>
    <row r="120" spans="1:2" x14ac:dyDescent="0.25">
      <c r="A120" t="s">
        <v>144</v>
      </c>
      <c r="B120">
        <f>26+46+64</f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0" workbookViewId="0">
      <selection activeCell="A21" sqref="A21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141</v>
      </c>
      <c r="D1" t="s">
        <v>473</v>
      </c>
    </row>
    <row r="4" spans="1:4" x14ac:dyDescent="0.25">
      <c r="A4" t="s">
        <v>126</v>
      </c>
    </row>
    <row r="5" spans="1:4" x14ac:dyDescent="0.25">
      <c r="A5" t="s">
        <v>142</v>
      </c>
    </row>
    <row r="6" spans="1:4" x14ac:dyDescent="0.25">
      <c r="A6" t="s">
        <v>143</v>
      </c>
    </row>
    <row r="9" spans="1:4" x14ac:dyDescent="0.25">
      <c r="A9" t="s">
        <v>128</v>
      </c>
    </row>
    <row r="10" spans="1:4" x14ac:dyDescent="0.25">
      <c r="A10" t="s">
        <v>512</v>
      </c>
    </row>
    <row r="11" spans="1:4" x14ac:dyDescent="0.25">
      <c r="A11" t="s">
        <v>516</v>
      </c>
    </row>
    <row r="14" spans="1:4" x14ac:dyDescent="0.25">
      <c r="A14" t="s">
        <v>129</v>
      </c>
    </row>
    <row r="15" spans="1:4" x14ac:dyDescent="0.25">
      <c r="A15" t="s">
        <v>514</v>
      </c>
    </row>
    <row r="16" spans="1:4" x14ac:dyDescent="0.25">
      <c r="A16" t="s">
        <v>515</v>
      </c>
    </row>
    <row r="19" spans="1:5" x14ac:dyDescent="0.25">
      <c r="A19" t="s">
        <v>131</v>
      </c>
    </row>
    <row r="20" spans="1:5" x14ac:dyDescent="0.25">
      <c r="A20" t="s">
        <v>513</v>
      </c>
    </row>
    <row r="21" spans="1:5" x14ac:dyDescent="0.25">
      <c r="A21" t="s">
        <v>385</v>
      </c>
    </row>
    <row r="24" spans="1:5" x14ac:dyDescent="0.25">
      <c r="A24" t="s">
        <v>99</v>
      </c>
    </row>
    <row r="26" spans="1:5" x14ac:dyDescent="0.25">
      <c r="A26" t="s">
        <v>100</v>
      </c>
      <c r="B26">
        <f>13+47+58+75</f>
        <v>193</v>
      </c>
    </row>
    <row r="29" spans="1:5" x14ac:dyDescent="0.25">
      <c r="A29" t="s">
        <v>166</v>
      </c>
    </row>
    <row r="31" spans="1:5" x14ac:dyDescent="0.25">
      <c r="A31" t="s">
        <v>162</v>
      </c>
      <c r="B31">
        <v>3320</v>
      </c>
    </row>
    <row r="32" spans="1:5" x14ac:dyDescent="0.25">
      <c r="A32" t="s">
        <v>163</v>
      </c>
      <c r="B32">
        <v>50</v>
      </c>
      <c r="C32" s="8">
        <v>0.33300000000000002</v>
      </c>
      <c r="D32" t="s">
        <v>167</v>
      </c>
      <c r="E32">
        <f>B32*C32+B33*C33</f>
        <v>33.35</v>
      </c>
    </row>
    <row r="33" spans="1:5" x14ac:dyDescent="0.25">
      <c r="A33" t="s">
        <v>164</v>
      </c>
      <c r="B33">
        <v>100</v>
      </c>
      <c r="C33" s="8">
        <v>0.16700000000000001</v>
      </c>
      <c r="D33" t="s">
        <v>171</v>
      </c>
      <c r="E33">
        <f>B31/B26</f>
        <v>17.202072538860104</v>
      </c>
    </row>
    <row r="34" spans="1:5" x14ac:dyDescent="0.25">
      <c r="C34" s="8"/>
      <c r="D34" t="s">
        <v>172</v>
      </c>
      <c r="E34">
        <f>E32/B26</f>
        <v>0.17279792746113989</v>
      </c>
    </row>
    <row r="35" spans="1:5" x14ac:dyDescent="0.25">
      <c r="D35" t="s">
        <v>183</v>
      </c>
      <c r="E35">
        <f>B34</f>
        <v>0</v>
      </c>
    </row>
    <row r="36" spans="1:5" x14ac:dyDescent="0.25">
      <c r="D36" t="s">
        <v>189</v>
      </c>
      <c r="E36">
        <f>E35/B26</f>
        <v>0</v>
      </c>
    </row>
    <row r="37" spans="1:5" x14ac:dyDescent="0.25">
      <c r="D37" t="s">
        <v>190</v>
      </c>
      <c r="E37">
        <f>E36+E34*1.8</f>
        <v>0.3110362694300518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D1" sqref="D1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80</v>
      </c>
      <c r="D1" t="s">
        <v>255</v>
      </c>
    </row>
    <row r="4" spans="1:4" x14ac:dyDescent="0.25">
      <c r="A4" t="s">
        <v>86</v>
      </c>
    </row>
    <row r="6" spans="1:4" x14ac:dyDescent="0.25">
      <c r="A6" t="s">
        <v>81</v>
      </c>
    </row>
    <row r="7" spans="1:4" x14ac:dyDescent="0.25">
      <c r="A7" t="s">
        <v>266</v>
      </c>
    </row>
    <row r="8" spans="1:4" x14ac:dyDescent="0.25">
      <c r="A8" t="s">
        <v>84</v>
      </c>
    </row>
    <row r="11" spans="1:4" x14ac:dyDescent="0.25">
      <c r="A11" t="s">
        <v>82</v>
      </c>
    </row>
    <row r="12" spans="1:4" x14ac:dyDescent="0.25">
      <c r="A12" t="s">
        <v>267</v>
      </c>
    </row>
    <row r="13" spans="1:4" x14ac:dyDescent="0.25">
      <c r="A13" t="s">
        <v>83</v>
      </c>
    </row>
    <row r="16" spans="1:4" x14ac:dyDescent="0.25">
      <c r="A16" t="s">
        <v>88</v>
      </c>
    </row>
    <row r="17" spans="1:1" x14ac:dyDescent="0.25">
      <c r="A17" t="s">
        <v>268</v>
      </c>
    </row>
    <row r="18" spans="1:1" x14ac:dyDescent="0.25">
      <c r="A18" t="s">
        <v>85</v>
      </c>
    </row>
    <row r="21" spans="1:1" x14ac:dyDescent="0.25">
      <c r="A21" t="s">
        <v>87</v>
      </c>
    </row>
    <row r="22" spans="1:1" x14ac:dyDescent="0.25">
      <c r="A22" t="s">
        <v>249</v>
      </c>
    </row>
    <row r="23" spans="1:1" x14ac:dyDescent="0.25">
      <c r="A23" t="s">
        <v>89</v>
      </c>
    </row>
    <row r="24" spans="1:1" x14ac:dyDescent="0.25">
      <c r="A24" t="s">
        <v>209</v>
      </c>
    </row>
    <row r="27" spans="1:1" x14ac:dyDescent="0.25">
      <c r="A27" t="s">
        <v>96</v>
      </c>
    </row>
    <row r="28" spans="1:1" x14ac:dyDescent="0.25">
      <c r="A28" t="s">
        <v>329</v>
      </c>
    </row>
    <row r="29" spans="1:1" x14ac:dyDescent="0.25">
      <c r="A29" t="s">
        <v>97</v>
      </c>
    </row>
    <row r="32" spans="1:1" x14ac:dyDescent="0.25">
      <c r="A32" t="s">
        <v>90</v>
      </c>
    </row>
    <row r="33" spans="1:1" x14ac:dyDescent="0.25">
      <c r="A33" t="s">
        <v>330</v>
      </c>
    </row>
    <row r="34" spans="1:1" x14ac:dyDescent="0.25">
      <c r="A34" t="s">
        <v>98</v>
      </c>
    </row>
    <row r="35" spans="1:1" x14ac:dyDescent="0.25">
      <c r="A35" t="s">
        <v>91</v>
      </c>
    </row>
    <row r="38" spans="1:1" x14ac:dyDescent="0.25">
      <c r="A38" t="s">
        <v>92</v>
      </c>
    </row>
    <row r="39" spans="1:1" x14ac:dyDescent="0.25">
      <c r="A39" t="s">
        <v>331</v>
      </c>
    </row>
    <row r="40" spans="1:1" x14ac:dyDescent="0.25">
      <c r="A40" t="s">
        <v>93</v>
      </c>
    </row>
    <row r="43" spans="1:1" x14ac:dyDescent="0.25">
      <c r="A43" t="s">
        <v>94</v>
      </c>
    </row>
    <row r="44" spans="1:1" x14ac:dyDescent="0.25">
      <c r="A44" t="s">
        <v>332</v>
      </c>
    </row>
    <row r="45" spans="1:1" x14ac:dyDescent="0.25">
      <c r="A45" t="s">
        <v>89</v>
      </c>
    </row>
    <row r="46" spans="1:1" x14ac:dyDescent="0.25">
      <c r="A46" t="s">
        <v>95</v>
      </c>
    </row>
    <row r="49" spans="1:5" x14ac:dyDescent="0.25">
      <c r="A49" t="s">
        <v>99</v>
      </c>
    </row>
    <row r="51" spans="1:5" x14ac:dyDescent="0.25">
      <c r="A51" t="s">
        <v>100</v>
      </c>
      <c r="B51">
        <f>44+46+40+1+27+79+33+101</f>
        <v>371</v>
      </c>
    </row>
    <row r="52" spans="1:5" x14ac:dyDescent="0.25">
      <c r="A52" t="s">
        <v>101</v>
      </c>
      <c r="B52">
        <v>122</v>
      </c>
    </row>
    <row r="55" spans="1:5" x14ac:dyDescent="0.25">
      <c r="A55" t="s">
        <v>166</v>
      </c>
    </row>
    <row r="57" spans="1:5" x14ac:dyDescent="0.25">
      <c r="A57" t="s">
        <v>162</v>
      </c>
      <c r="B57">
        <v>7230</v>
      </c>
    </row>
    <row r="58" spans="1:5" x14ac:dyDescent="0.25">
      <c r="A58" t="s">
        <v>163</v>
      </c>
      <c r="B58">
        <v>200</v>
      </c>
      <c r="C58" s="8">
        <v>0.33300000000000002</v>
      </c>
      <c r="D58" t="s">
        <v>167</v>
      </c>
      <c r="E58">
        <f>B58*C58+B59*C59</f>
        <v>116.70000000000002</v>
      </c>
    </row>
    <row r="59" spans="1:5" x14ac:dyDescent="0.25">
      <c r="A59" t="s">
        <v>164</v>
      </c>
      <c r="B59">
        <v>300</v>
      </c>
      <c r="C59" s="8">
        <v>0.16700000000000001</v>
      </c>
      <c r="D59" t="s">
        <v>173</v>
      </c>
      <c r="E59">
        <f>B57/(B51+B52)</f>
        <v>14.665314401622718</v>
      </c>
    </row>
    <row r="60" spans="1:5" x14ac:dyDescent="0.25">
      <c r="A60" t="s">
        <v>169</v>
      </c>
      <c r="B60" t="s">
        <v>170</v>
      </c>
      <c r="C60" s="8">
        <v>0.23100000000000001</v>
      </c>
      <c r="D60" t="s">
        <v>172</v>
      </c>
      <c r="E60">
        <f>E58/(B51+B52)</f>
        <v>0.23671399594320491</v>
      </c>
    </row>
    <row r="61" spans="1:5" x14ac:dyDescent="0.25">
      <c r="D61" t="s">
        <v>183</v>
      </c>
      <c r="E61">
        <f>225*C60</f>
        <v>51.975000000000001</v>
      </c>
    </row>
    <row r="62" spans="1:5" x14ac:dyDescent="0.25">
      <c r="D62" t="s">
        <v>189</v>
      </c>
      <c r="E62">
        <f>E61/(B51+B52)</f>
        <v>0.10542596348884381</v>
      </c>
    </row>
    <row r="63" spans="1:5" x14ac:dyDescent="0.25">
      <c r="D63" t="s">
        <v>190</v>
      </c>
      <c r="E63">
        <f>E62+E60*1.8</f>
        <v>0.5315111561866126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25" workbookViewId="0">
      <selection activeCell="D1" sqref="D1"/>
    </sheetView>
  </sheetViews>
  <sheetFormatPr baseColWidth="10" defaultRowHeight="15" x14ac:dyDescent="0.25"/>
  <cols>
    <col min="1" max="1" width="20.7109375" customWidth="1"/>
    <col min="2" max="3" width="10.7109375" customWidth="1"/>
    <col min="4" max="4" width="20.7109375" customWidth="1"/>
    <col min="5" max="6" width="10.7109375" customWidth="1"/>
  </cols>
  <sheetData>
    <row r="1" spans="1:4" x14ac:dyDescent="0.25">
      <c r="A1" t="s">
        <v>140</v>
      </c>
      <c r="D1" t="s">
        <v>255</v>
      </c>
    </row>
    <row r="4" spans="1:4" x14ac:dyDescent="0.25">
      <c r="A4" t="s">
        <v>110</v>
      </c>
    </row>
    <row r="6" spans="1:4" x14ac:dyDescent="0.25">
      <c r="A6" t="s">
        <v>124</v>
      </c>
    </row>
    <row r="7" spans="1:4" x14ac:dyDescent="0.25">
      <c r="A7" t="s">
        <v>258</v>
      </c>
    </row>
    <row r="8" spans="1:4" x14ac:dyDescent="0.25">
      <c r="A8" t="s">
        <v>125</v>
      </c>
    </row>
    <row r="11" spans="1:4" x14ac:dyDescent="0.25">
      <c r="A11" t="s">
        <v>103</v>
      </c>
    </row>
    <row r="12" spans="1:4" x14ac:dyDescent="0.25">
      <c r="A12" t="s">
        <v>259</v>
      </c>
    </row>
    <row r="13" spans="1:4" x14ac:dyDescent="0.25">
      <c r="A13" t="s">
        <v>104</v>
      </c>
    </row>
    <row r="16" spans="1:4" x14ac:dyDescent="0.25">
      <c r="A16" t="s">
        <v>106</v>
      </c>
    </row>
    <row r="17" spans="1:1" x14ac:dyDescent="0.25">
      <c r="A17" t="s">
        <v>105</v>
      </c>
    </row>
    <row r="18" spans="1:1" x14ac:dyDescent="0.25">
      <c r="A18" t="s">
        <v>260</v>
      </c>
    </row>
    <row r="19" spans="1:1" x14ac:dyDescent="0.25">
      <c r="A19" t="s">
        <v>208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117</v>
      </c>
    </row>
    <row r="28" spans="1:1" x14ac:dyDescent="0.25">
      <c r="A28" t="s">
        <v>111</v>
      </c>
    </row>
    <row r="29" spans="1:1" x14ac:dyDescent="0.25">
      <c r="A29" t="s">
        <v>113</v>
      </c>
    </row>
    <row r="30" spans="1:1" x14ac:dyDescent="0.25">
      <c r="A30" t="s">
        <v>102</v>
      </c>
    </row>
    <row r="32" spans="1:1" x14ac:dyDescent="0.25">
      <c r="A32" t="s">
        <v>112</v>
      </c>
    </row>
    <row r="33" spans="1:4" x14ac:dyDescent="0.25">
      <c r="A33" t="s">
        <v>261</v>
      </c>
    </row>
    <row r="34" spans="1:4" x14ac:dyDescent="0.25">
      <c r="A34" t="s">
        <v>93</v>
      </c>
    </row>
    <row r="37" spans="1:4" x14ac:dyDescent="0.25">
      <c r="A37" t="s">
        <v>114</v>
      </c>
      <c r="D37" t="s">
        <v>120</v>
      </c>
    </row>
    <row r="38" spans="1:4" x14ac:dyDescent="0.25">
      <c r="A38" t="s">
        <v>262</v>
      </c>
    </row>
    <row r="39" spans="1:4" x14ac:dyDescent="0.25">
      <c r="A39" t="s">
        <v>115</v>
      </c>
    </row>
    <row r="42" spans="1:4" x14ac:dyDescent="0.25">
      <c r="A42" t="s">
        <v>118</v>
      </c>
    </row>
    <row r="43" spans="1:4" x14ac:dyDescent="0.25">
      <c r="A43" t="s">
        <v>263</v>
      </c>
    </row>
    <row r="44" spans="1:4" x14ac:dyDescent="0.25">
      <c r="A44" t="s">
        <v>116</v>
      </c>
    </row>
    <row r="47" spans="1:4" x14ac:dyDescent="0.25">
      <c r="A47" t="s">
        <v>119</v>
      </c>
    </row>
    <row r="48" spans="1:4" x14ac:dyDescent="0.25">
      <c r="A48" t="s">
        <v>264</v>
      </c>
    </row>
    <row r="49" spans="1:3" x14ac:dyDescent="0.25">
      <c r="A49" t="s">
        <v>121</v>
      </c>
    </row>
    <row r="52" spans="1:3" x14ac:dyDescent="0.25">
      <c r="A52" t="s">
        <v>122</v>
      </c>
    </row>
    <row r="53" spans="1:3" x14ac:dyDescent="0.25">
      <c r="A53" t="s">
        <v>265</v>
      </c>
    </row>
    <row r="54" spans="1:3" x14ac:dyDescent="0.25">
      <c r="A54" t="s">
        <v>211</v>
      </c>
    </row>
    <row r="57" spans="1:3" x14ac:dyDescent="0.25">
      <c r="A57" t="s">
        <v>99</v>
      </c>
    </row>
    <row r="59" spans="1:3" x14ac:dyDescent="0.25">
      <c r="A59" t="s">
        <v>100</v>
      </c>
      <c r="B59">
        <f>15+51+132+11+31+33+4+31+26+72</f>
        <v>406</v>
      </c>
    </row>
    <row r="60" spans="1:3" x14ac:dyDescent="0.25">
      <c r="A60" t="s">
        <v>123</v>
      </c>
      <c r="B60">
        <f>12</f>
        <v>12</v>
      </c>
      <c r="C60">
        <f>B60*5</f>
        <v>60</v>
      </c>
    </row>
    <row r="63" spans="1:3" x14ac:dyDescent="0.25">
      <c r="A63" t="s">
        <v>168</v>
      </c>
    </row>
    <row r="65" spans="1:5" x14ac:dyDescent="0.25">
      <c r="A65" t="s">
        <v>162</v>
      </c>
      <c r="B65">
        <v>5975</v>
      </c>
    </row>
    <row r="66" spans="1:5" x14ac:dyDescent="0.25">
      <c r="A66" t="s">
        <v>163</v>
      </c>
      <c r="B66">
        <v>200</v>
      </c>
      <c r="C66" s="8">
        <v>0.33300000000000002</v>
      </c>
      <c r="D66" t="s">
        <v>167</v>
      </c>
      <c r="E66">
        <f>B66*C66+B67*C67</f>
        <v>116.70000000000002</v>
      </c>
    </row>
    <row r="67" spans="1:5" x14ac:dyDescent="0.25">
      <c r="A67" t="s">
        <v>164</v>
      </c>
      <c r="B67">
        <v>300</v>
      </c>
      <c r="C67" s="8">
        <v>0.16700000000000001</v>
      </c>
      <c r="D67" t="s">
        <v>171</v>
      </c>
      <c r="E67">
        <f>B65/(B59+C60)</f>
        <v>12.821888412017167</v>
      </c>
    </row>
    <row r="68" spans="1:5" x14ac:dyDescent="0.25">
      <c r="A68" t="s">
        <v>169</v>
      </c>
      <c r="B68" t="s">
        <v>170</v>
      </c>
      <c r="C68" s="8">
        <v>7.5999999999999998E-2</v>
      </c>
      <c r="D68" t="s">
        <v>172</v>
      </c>
      <c r="E68">
        <f>E66/(B59+C60)</f>
        <v>0.25042918454935625</v>
      </c>
    </row>
    <row r="69" spans="1:5" x14ac:dyDescent="0.25">
      <c r="D69" t="s">
        <v>183</v>
      </c>
      <c r="E69">
        <f>225*C68</f>
        <v>17.099999999999998</v>
      </c>
    </row>
    <row r="70" spans="1:5" x14ac:dyDescent="0.25">
      <c r="D70" t="s">
        <v>189</v>
      </c>
      <c r="E70">
        <f>E69/(B59+C60)</f>
        <v>3.6695278969957078E-2</v>
      </c>
    </row>
    <row r="71" spans="1:5" x14ac:dyDescent="0.25">
      <c r="D71" t="s">
        <v>190</v>
      </c>
      <c r="E71">
        <f>E70+E68*1.8</f>
        <v>0.48746781115879834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Prix</vt:lpstr>
      <vt:lpstr>CN</vt:lpstr>
      <vt:lpstr>SDM</vt:lpstr>
      <vt:lpstr>IDP</vt:lpstr>
      <vt:lpstr>RANDB</vt:lpstr>
      <vt:lpstr>AS</vt:lpstr>
      <vt:lpstr>CP</vt:lpstr>
      <vt:lpstr>AC</vt:lpstr>
      <vt:lpstr>PDM</vt:lpstr>
      <vt:lpstr>ST</vt:lpstr>
      <vt:lpstr>VAR</vt:lpstr>
      <vt:lpstr>VLV</vt:lpstr>
      <vt:lpstr>Nordique</vt:lpstr>
      <vt:lpstr>Vieux amis</vt:lpstr>
      <vt:lpstr>Butins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BOULOGNE</dc:creator>
  <cp:lastModifiedBy>LAURENT BOULOGNE</cp:lastModifiedBy>
  <dcterms:created xsi:type="dcterms:W3CDTF">2013-06-15T20:02:08Z</dcterms:created>
  <dcterms:modified xsi:type="dcterms:W3CDTF">2014-02-01T17:25:57Z</dcterms:modified>
</cp:coreProperties>
</file>