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1437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104" i="1"/>
  <c r="G120"/>
  <c r="D120"/>
  <c r="E120"/>
  <c r="C120"/>
  <c r="D118"/>
  <c r="D116"/>
  <c r="D114"/>
  <c r="D112"/>
  <c r="D110"/>
  <c r="D108"/>
  <c r="D94"/>
  <c r="D93"/>
  <c r="D128"/>
  <c r="B128"/>
  <c r="D127"/>
  <c r="B127"/>
  <c r="C125"/>
  <c r="A125"/>
  <c r="F53"/>
  <c r="E34"/>
  <c r="D37"/>
  <c r="C37"/>
  <c r="E102" s="1"/>
  <c r="D31"/>
  <c r="D27"/>
  <c r="E125" s="1"/>
  <c r="C22"/>
  <c r="D16"/>
  <c r="E41" s="1"/>
  <c r="D98" l="1"/>
  <c r="D100" s="1"/>
  <c r="C102" s="1"/>
  <c r="D102" s="1"/>
  <c r="G102" s="1"/>
  <c r="C79"/>
  <c r="E81" s="1"/>
  <c r="D67"/>
  <c r="E69" s="1"/>
  <c r="E37"/>
  <c r="C73" s="1"/>
  <c r="C75" s="1"/>
  <c r="C77" s="1"/>
  <c r="C81" s="1"/>
  <c r="D57"/>
  <c r="D59"/>
  <c r="D81" l="1"/>
  <c r="G81" s="1"/>
  <c r="C45"/>
  <c r="E49" s="1"/>
  <c r="E51" s="1"/>
  <c r="D39"/>
  <c r="C41" s="1"/>
  <c r="D41" s="1"/>
  <c r="G41" s="1"/>
  <c r="D65" l="1"/>
  <c r="C69" s="1"/>
  <c r="D69" s="1"/>
  <c r="G69" s="1"/>
  <c r="D55"/>
  <c r="C61" s="1"/>
  <c r="D61" s="1"/>
  <c r="G61" s="1"/>
  <c r="E85"/>
  <c r="E47"/>
  <c r="C51" s="1"/>
  <c r="D51" s="1"/>
  <c r="G51" s="1"/>
</calcChain>
</file>

<file path=xl/sharedStrings.xml><?xml version="1.0" encoding="utf-8"?>
<sst xmlns="http://schemas.openxmlformats.org/spreadsheetml/2006/main" count="131" uniqueCount="106">
  <si>
    <t>Dimensionnement d'appareil d'appuis</t>
  </si>
  <si>
    <t>Tableau des charges</t>
  </si>
  <si>
    <t>Max</t>
  </si>
  <si>
    <t>Min</t>
  </si>
  <si>
    <t>MN (ELU)</t>
  </si>
  <si>
    <t>V(z) MN</t>
  </si>
  <si>
    <t>H(x) m</t>
  </si>
  <si>
    <t>α mrad</t>
  </si>
  <si>
    <t>Dimensionnement selon GUIDE TECHNIQUE SETRA de juillet 2007</t>
  </si>
  <si>
    <t>Mpa</t>
  </si>
  <si>
    <t>m²</t>
  </si>
  <si>
    <t>On part sue la limite</t>
  </si>
  <si>
    <t xml:space="preserve"> basse </t>
  </si>
  <si>
    <t>4.2.3 Hauteur nette d'élastomére:</t>
  </si>
  <si>
    <t>4.2.2 Aire de l'appareil d'appui:</t>
  </si>
  <si>
    <t xml:space="preserve">Soit </t>
  </si>
  <si>
    <t>m</t>
  </si>
  <si>
    <t xml:space="preserve">On peut choisir </t>
  </si>
  <si>
    <t xml:space="preserve">feuillets de </t>
  </si>
  <si>
    <t>mm</t>
  </si>
  <si>
    <t>et</t>
  </si>
  <si>
    <t>enrobage de</t>
  </si>
  <si>
    <t>soit</t>
  </si>
  <si>
    <t>(surface mini)</t>
  </si>
  <si>
    <r>
      <t>T</t>
    </r>
    <r>
      <rPr>
        <sz val="8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</rPr>
      <t>≥</t>
    </r>
  </si>
  <si>
    <r>
      <t>T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=</t>
    </r>
  </si>
  <si>
    <r>
      <t>avec Vx=V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+V</t>
    </r>
    <r>
      <rPr>
        <sz val="8"/>
        <color theme="1"/>
        <rFont val="Calibri"/>
        <family val="2"/>
        <scheme val="minor"/>
      </rPr>
      <t>2</t>
    </r>
  </si>
  <si>
    <r>
      <t>ici V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=0 (pas de freinage)</t>
    </r>
  </si>
  <si>
    <t>4.2.4 Dimension en plan:</t>
  </si>
  <si>
    <r>
      <t>A'</t>
    </r>
    <r>
      <rPr>
        <sz val="8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</rPr>
      <t>≤V</t>
    </r>
    <r>
      <rPr>
        <sz val="8"/>
        <color theme="1"/>
        <rFont val="Calibri"/>
        <family val="2"/>
      </rPr>
      <t>min</t>
    </r>
    <r>
      <rPr>
        <sz val="11"/>
        <color theme="1"/>
        <rFont val="Calibri"/>
        <family val="2"/>
      </rPr>
      <t>/3</t>
    </r>
  </si>
  <si>
    <r>
      <t>A</t>
    </r>
    <r>
      <rPr>
        <sz val="8"/>
        <color theme="1"/>
        <rFont val="Calibri"/>
        <family val="2"/>
        <scheme val="minor"/>
      </rPr>
      <t>'min</t>
    </r>
    <r>
      <rPr>
        <sz val="11"/>
        <color theme="1"/>
        <rFont val="Calibri"/>
        <family val="2"/>
      </rPr>
      <t>≥</t>
    </r>
  </si>
  <si>
    <r>
      <t>A'max</t>
    </r>
    <r>
      <rPr>
        <sz val="11"/>
        <color theme="1"/>
        <rFont val="Calibri"/>
        <family val="2"/>
      </rPr>
      <t>≤</t>
    </r>
  </si>
  <si>
    <t>On peut choisir</t>
  </si>
  <si>
    <t>a (m)</t>
  </si>
  <si>
    <t>b (m)</t>
  </si>
  <si>
    <t>A' (m²)</t>
  </si>
  <si>
    <t>avec</t>
  </si>
  <si>
    <t>a' (m)</t>
  </si>
  <si>
    <t>b'(m)</t>
  </si>
  <si>
    <t>A (m²)</t>
  </si>
  <si>
    <t>On a donc</t>
  </si>
  <si>
    <r>
      <t>A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=A'[1-(V</t>
    </r>
    <r>
      <rPr>
        <sz val="8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/a')]=</t>
    </r>
  </si>
  <si>
    <r>
      <t>A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</rPr>
      <t>≥A</t>
    </r>
    <r>
      <rPr>
        <sz val="8"/>
        <color theme="1"/>
        <rFont val="Calibri"/>
        <family val="2"/>
      </rPr>
      <t>min</t>
    </r>
  </si>
  <si>
    <t xml:space="preserve">4.2.5 Stabilité au flambement: </t>
  </si>
  <si>
    <t>S1=S= a'b'/(2t(a'+b'))=</t>
  </si>
  <si>
    <t>Pression moyenne</t>
  </si>
  <si>
    <t>Pression Limite</t>
  </si>
  <si>
    <t>G=</t>
  </si>
  <si>
    <t>4.2.6 Respect de la limite de déformation</t>
  </si>
  <si>
    <r>
      <rPr>
        <sz val="14"/>
        <color theme="1"/>
        <rFont val="Calibri"/>
        <family val="2"/>
      </rPr>
      <t>ԑ</t>
    </r>
    <r>
      <rPr>
        <sz val="8"/>
        <color theme="1"/>
        <rFont val="Calibri"/>
        <family val="2"/>
      </rPr>
      <t>q</t>
    </r>
    <r>
      <rPr>
        <sz val="11"/>
        <color theme="1"/>
        <rFont val="Calibri"/>
        <family val="2"/>
      </rPr>
      <t>=Vx/T</t>
    </r>
    <r>
      <rPr>
        <sz val="8"/>
        <color theme="1"/>
        <rFont val="Calibri"/>
        <family val="2"/>
      </rPr>
      <t>q</t>
    </r>
    <r>
      <rPr>
        <sz val="11"/>
        <color theme="1"/>
        <rFont val="Calibri"/>
        <family val="2"/>
      </rPr>
      <t>≤1</t>
    </r>
  </si>
  <si>
    <r>
      <rPr>
        <sz val="14"/>
        <color theme="1"/>
        <rFont val="Calibri"/>
        <family val="2"/>
        <scheme val="minor"/>
      </rPr>
      <t>ԑ</t>
    </r>
    <r>
      <rPr>
        <sz val="8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>= (1,5V</t>
    </r>
    <r>
      <rPr>
        <sz val="8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/(GA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S)=</t>
    </r>
  </si>
  <si>
    <r>
      <rPr>
        <sz val="14"/>
        <color theme="1"/>
        <rFont val="Calibri"/>
        <family val="2"/>
        <scheme val="minor"/>
      </rPr>
      <t>ԑ</t>
    </r>
    <r>
      <rPr>
        <sz val="8"/>
        <color theme="1"/>
        <rFont val="Calibri"/>
        <family val="2"/>
        <scheme val="minor"/>
      </rPr>
      <t>qd</t>
    </r>
    <r>
      <rPr>
        <sz val="11"/>
        <color theme="1"/>
        <rFont val="Calibri"/>
        <family val="2"/>
        <scheme val="minor"/>
      </rPr>
      <t>=V</t>
    </r>
    <r>
      <rPr>
        <sz val="8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/T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=</t>
    </r>
  </si>
  <si>
    <t>α=αmax+3=</t>
  </si>
  <si>
    <r>
      <t>Ep</t>
    </r>
    <r>
      <rPr>
        <sz val="8"/>
        <color theme="1"/>
        <rFont val="Calibri"/>
        <family val="2"/>
        <scheme val="minor"/>
      </rPr>
      <t>1</t>
    </r>
  </si>
  <si>
    <r>
      <t>Ep</t>
    </r>
    <r>
      <rPr>
        <sz val="8"/>
        <color theme="1"/>
        <rFont val="Calibri"/>
        <family val="2"/>
        <scheme val="minor"/>
      </rPr>
      <t>2</t>
    </r>
  </si>
  <si>
    <r>
      <rPr>
        <sz val="14"/>
        <color theme="1"/>
        <rFont val="Calibri"/>
        <family val="2"/>
        <scheme val="minor"/>
      </rPr>
      <t>ԑ</t>
    </r>
    <r>
      <rPr>
        <sz val="8"/>
        <color theme="1"/>
        <rFont val="Calibri"/>
        <family val="2"/>
        <scheme val="minor"/>
      </rPr>
      <t>αd</t>
    </r>
    <r>
      <rPr>
        <sz val="11"/>
        <color theme="1"/>
        <rFont val="Calibri"/>
        <family val="2"/>
        <scheme val="minor"/>
      </rPr>
      <t>=a'²αEp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/(2(6Ep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^3+2Ep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^3))=</t>
    </r>
  </si>
  <si>
    <t>4.2.7 Stabilité en rotation:</t>
  </si>
  <si>
    <r>
      <rPr>
        <sz val="14"/>
        <color theme="1"/>
        <rFont val="Calibri"/>
        <family val="2"/>
        <scheme val="minor"/>
      </rPr>
      <t>ԑ</t>
    </r>
    <r>
      <rPr>
        <sz val="8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>+</t>
    </r>
    <r>
      <rPr>
        <sz val="14"/>
        <color theme="1"/>
        <rFont val="Calibri"/>
        <family val="2"/>
        <scheme val="minor"/>
      </rPr>
      <t>ԑ</t>
    </r>
    <r>
      <rPr>
        <sz val="8"/>
        <color theme="1"/>
        <rFont val="Calibri"/>
        <family val="2"/>
        <scheme val="minor"/>
      </rPr>
      <t>qd</t>
    </r>
    <r>
      <rPr>
        <sz val="11"/>
        <color theme="1"/>
        <rFont val="Calibri"/>
        <family val="2"/>
        <scheme val="minor"/>
      </rPr>
      <t>+</t>
    </r>
    <r>
      <rPr>
        <sz val="14"/>
        <color theme="1"/>
        <rFont val="Calibri"/>
        <family val="2"/>
        <scheme val="minor"/>
      </rPr>
      <t>ԑ</t>
    </r>
    <r>
      <rPr>
        <sz val="8"/>
        <color theme="1"/>
        <rFont val="Calibri"/>
        <family val="2"/>
        <scheme val="minor"/>
      </rPr>
      <t xml:space="preserve">αd </t>
    </r>
    <r>
      <rPr>
        <sz val="11"/>
        <color theme="1"/>
        <rFont val="Calibri"/>
        <family val="2"/>
        <scheme val="minor"/>
      </rPr>
      <t>&lt; 7</t>
    </r>
  </si>
  <si>
    <r>
      <t>v</t>
    </r>
    <r>
      <rPr>
        <sz val="8"/>
        <color theme="1"/>
        <rFont val="Calibri"/>
        <family val="2"/>
      </rPr>
      <t>z</t>
    </r>
    <r>
      <rPr>
        <sz val="11"/>
        <color theme="1"/>
        <rFont val="Calibri"/>
        <family val="2"/>
      </rPr>
      <t>=(Vt</t>
    </r>
    <r>
      <rPr>
        <sz val="8"/>
        <color theme="1"/>
        <rFont val="Calibri"/>
        <family val="2"/>
      </rPr>
      <t>i</t>
    </r>
    <r>
      <rPr>
        <sz val="11"/>
        <color theme="1"/>
        <rFont val="Calibri"/>
        <family val="2"/>
      </rPr>
      <t>/A')((1/(5GS</t>
    </r>
    <r>
      <rPr>
        <sz val="8"/>
        <color theme="1"/>
        <rFont val="Calibri"/>
        <family val="2"/>
      </rPr>
      <t>1</t>
    </r>
    <r>
      <rPr>
        <sz val="11"/>
        <color theme="1"/>
        <rFont val="Calibri"/>
        <family val="2"/>
      </rPr>
      <t>²))+(1/E</t>
    </r>
    <r>
      <rPr>
        <sz val="8"/>
        <color theme="1"/>
        <rFont val="Calibri"/>
        <family val="2"/>
      </rPr>
      <t>b</t>
    </r>
    <r>
      <rPr>
        <sz val="11"/>
        <color theme="1"/>
        <rFont val="Calibri"/>
        <family val="2"/>
      </rPr>
      <t>))=</t>
    </r>
  </si>
  <si>
    <t>Eb=</t>
  </si>
  <si>
    <r>
      <t>Vc=(a'α</t>
    </r>
    <r>
      <rPr>
        <sz val="8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+b'α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)/3=</t>
    </r>
  </si>
  <si>
    <r>
      <t>V</t>
    </r>
    <r>
      <rPr>
        <sz val="8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&gt;V</t>
    </r>
    <r>
      <rPr>
        <sz val="8"/>
        <color theme="1"/>
        <rFont val="Calibri"/>
        <family val="2"/>
        <scheme val="minor"/>
      </rPr>
      <t>c</t>
    </r>
  </si>
  <si>
    <t>4.2.8 Vérification de la condition de non-glissement:</t>
  </si>
  <si>
    <r>
      <t>A</t>
    </r>
    <r>
      <rPr>
        <sz val="8"/>
        <color theme="1"/>
        <rFont val="Calibri"/>
        <family val="2"/>
        <scheme val="minor"/>
      </rPr>
      <t>r2</t>
    </r>
    <r>
      <rPr>
        <sz val="11"/>
        <color theme="1"/>
        <rFont val="Calibri"/>
        <family val="2"/>
        <scheme val="minor"/>
      </rPr>
      <t>=A'(1-(H/a'))=</t>
    </r>
  </si>
  <si>
    <r>
      <rPr>
        <sz val="14"/>
        <color theme="1"/>
        <rFont val="Calibri"/>
        <family val="2"/>
      </rPr>
      <t>σ</t>
    </r>
    <r>
      <rPr>
        <sz val="8"/>
        <color theme="1"/>
        <rFont val="Calibri"/>
        <family val="2"/>
      </rPr>
      <t>moy</t>
    </r>
    <r>
      <rPr>
        <sz val="11"/>
        <color theme="1"/>
        <rFont val="Calibri"/>
        <family val="2"/>
      </rPr>
      <t>=V</t>
    </r>
    <r>
      <rPr>
        <sz val="8"/>
        <color theme="1"/>
        <rFont val="Calibri"/>
        <family val="2"/>
      </rPr>
      <t>max</t>
    </r>
    <r>
      <rPr>
        <sz val="11"/>
        <color theme="1"/>
        <rFont val="Calibri"/>
        <family val="2"/>
      </rPr>
      <t>/A</t>
    </r>
    <r>
      <rPr>
        <sz val="8"/>
        <color theme="1"/>
        <rFont val="Calibri"/>
        <family val="2"/>
      </rPr>
      <t>r</t>
    </r>
    <r>
      <rPr>
        <sz val="11"/>
        <color theme="1"/>
        <rFont val="Calibri"/>
        <family val="2"/>
      </rPr>
      <t>=</t>
    </r>
  </si>
  <si>
    <r>
      <rPr>
        <sz val="14"/>
        <color theme="1"/>
        <rFont val="Calibri"/>
        <family val="2"/>
      </rPr>
      <t>σ</t>
    </r>
    <r>
      <rPr>
        <sz val="8"/>
        <color theme="1"/>
        <rFont val="Calibri"/>
        <family val="2"/>
      </rPr>
      <t>Lim</t>
    </r>
    <r>
      <rPr>
        <sz val="11"/>
        <color theme="1"/>
        <rFont val="Calibri"/>
        <family val="2"/>
      </rPr>
      <t>=(2a'GS</t>
    </r>
    <r>
      <rPr>
        <sz val="8"/>
        <color theme="1"/>
        <rFont val="Calibri"/>
        <family val="2"/>
      </rPr>
      <t>1</t>
    </r>
    <r>
      <rPr>
        <sz val="11"/>
        <color theme="1"/>
        <rFont val="Calibri"/>
        <family val="2"/>
      </rPr>
      <t>)/(3T</t>
    </r>
    <r>
      <rPr>
        <sz val="8"/>
        <color theme="1"/>
        <rFont val="Calibri"/>
        <family val="2"/>
      </rPr>
      <t>e</t>
    </r>
    <r>
      <rPr>
        <sz val="11"/>
        <color theme="1"/>
        <rFont val="Calibri"/>
        <family val="2"/>
      </rPr>
      <t>)=</t>
    </r>
  </si>
  <si>
    <r>
      <t>A'</t>
    </r>
    <r>
      <rPr>
        <sz val="8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≤V</t>
    </r>
    <r>
      <rPr>
        <sz val="8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/</t>
    </r>
    <r>
      <rPr>
        <sz val="14"/>
        <color theme="1"/>
        <rFont val="Calibri"/>
        <family val="2"/>
      </rPr>
      <t>σ</t>
    </r>
  </si>
  <si>
    <r>
      <rPr>
        <sz val="14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=V/A</t>
    </r>
    <r>
      <rPr>
        <sz val="8"/>
        <color theme="1"/>
        <rFont val="Calibri"/>
        <family val="2"/>
        <scheme val="minor"/>
      </rPr>
      <t>r2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</si>
  <si>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sz val="8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=((H/T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)Ga'b')+H</t>
    </r>
    <r>
      <rPr>
        <sz val="8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=</t>
    </r>
  </si>
  <si>
    <r>
      <t>(ici H</t>
    </r>
    <r>
      <rPr>
        <sz val="8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=0)</t>
    </r>
  </si>
  <si>
    <t>Mn</t>
  </si>
  <si>
    <r>
      <rPr>
        <sz val="14"/>
        <color theme="1"/>
        <rFont val="Calibri"/>
        <family val="2"/>
        <scheme val="minor"/>
      </rPr>
      <t>µ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=0,1+((1,5K</t>
    </r>
    <r>
      <rPr>
        <sz val="8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)/</t>
    </r>
    <r>
      <rPr>
        <sz val="14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)=</t>
    </r>
  </si>
  <si>
    <r>
      <rPr>
        <sz val="14"/>
        <color theme="1"/>
        <rFont val="Calibri"/>
        <family val="2"/>
        <scheme val="minor"/>
      </rPr>
      <t>µ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V&gt;F</t>
    </r>
    <r>
      <rPr>
        <sz val="8"/>
        <color theme="1"/>
        <rFont val="Calibri"/>
        <family val="2"/>
        <scheme val="minor"/>
      </rPr>
      <t>x</t>
    </r>
  </si>
  <si>
    <t>4.2.9 Dimensionnement des frettes:</t>
  </si>
  <si>
    <t xml:space="preserve">mm </t>
  </si>
  <si>
    <t>d'épaisseur.</t>
  </si>
  <si>
    <r>
      <t>t</t>
    </r>
    <r>
      <rPr>
        <sz val="8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≥(2,6Vti)/A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f</t>
    </r>
    <r>
      <rPr>
        <sz val="8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=&gt;</t>
    </r>
  </si>
  <si>
    <t>ts≥</t>
  </si>
  <si>
    <t>Nous avons donc un appareil d'appui de:</t>
  </si>
  <si>
    <t>X</t>
  </si>
  <si>
    <t xml:space="preserve">avec </t>
  </si>
  <si>
    <r>
      <rPr>
        <sz val="14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>moy</t>
    </r>
    <r>
      <rPr>
        <sz val="11"/>
        <color theme="1"/>
        <rFont val="Calibri"/>
        <family val="2"/>
        <scheme val="minor"/>
      </rPr>
      <t>≤</t>
    </r>
    <r>
      <rPr>
        <sz val="14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>Lim</t>
    </r>
  </si>
  <si>
    <t>P9</t>
  </si>
  <si>
    <t>MN.mm</t>
  </si>
  <si>
    <r>
      <t>M</t>
    </r>
    <r>
      <rPr>
        <sz val="8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=K</t>
    </r>
    <r>
      <rPr>
        <sz val="8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[(Gαa'b')/(n'(t</t>
    </r>
    <r>
      <rPr>
        <sz val="8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^3)K</t>
    </r>
    <r>
      <rPr>
        <sz val="8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)]=</t>
    </r>
  </si>
  <si>
    <r>
      <t>K</t>
    </r>
    <r>
      <rPr>
        <sz val="8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= cf tableau 3,8=</t>
    </r>
  </si>
  <si>
    <r>
      <t>K</t>
    </r>
    <r>
      <rPr>
        <sz val="8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= cf tableau 3,11=</t>
    </r>
  </si>
  <si>
    <r>
      <t>n'=n+2[(n/t</t>
    </r>
    <r>
      <rPr>
        <sz val="8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)^3]=</t>
    </r>
  </si>
  <si>
    <r>
      <t>α=α</t>
    </r>
    <r>
      <rPr>
        <sz val="8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-0,003=</t>
    </r>
  </si>
  <si>
    <r>
      <t>exc</t>
    </r>
    <r>
      <rPr>
        <sz val="8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=M</t>
    </r>
    <r>
      <rPr>
        <sz val="8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/V</t>
    </r>
    <r>
      <rPr>
        <sz val="8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=</t>
    </r>
  </si>
  <si>
    <r>
      <t>6exc</t>
    </r>
    <r>
      <rPr>
        <sz val="8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&lt;a'</t>
    </r>
  </si>
  <si>
    <t xml:space="preserve">Pour cet appareil d'appui on prendra des frettes de </t>
  </si>
  <si>
    <t>4.2.10.1 Appui entiérement comprimé:</t>
  </si>
  <si>
    <t>4.2.10 Determination des pressions sur les supports</t>
  </si>
  <si>
    <t>4.2.10.2 Cas d'un décollement partiel:</t>
  </si>
  <si>
    <r>
      <t>K</t>
    </r>
    <r>
      <rPr>
        <sz val="8"/>
        <color theme="1"/>
        <rFont val="Calibri"/>
        <family val="2"/>
        <scheme val="minor"/>
      </rPr>
      <t>rs</t>
    </r>
    <r>
      <rPr>
        <sz val="11"/>
        <color theme="1"/>
        <rFont val="Calibri"/>
        <family val="2"/>
        <scheme val="minor"/>
      </rPr>
      <t>=((</t>
    </r>
    <r>
      <rPr>
        <sz val="14"/>
        <color theme="1"/>
        <rFont val="Calibri"/>
        <family val="2"/>
        <scheme val="minor"/>
      </rPr>
      <t>ԑ</t>
    </r>
    <r>
      <rPr>
        <sz val="8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>/K</t>
    </r>
    <r>
      <rPr>
        <sz val="8"/>
        <color theme="1"/>
        <rFont val="Calibri"/>
        <family val="2"/>
        <scheme val="minor"/>
      </rPr>
      <t>a max</t>
    </r>
    <r>
      <rPr>
        <sz val="11"/>
        <color theme="1"/>
        <rFont val="Calibri"/>
        <family val="2"/>
        <scheme val="minor"/>
      </rPr>
      <t>)/</t>
    </r>
    <r>
      <rPr>
        <sz val="14"/>
        <color theme="1"/>
        <rFont val="Calibri"/>
        <family val="2"/>
        <scheme val="minor"/>
      </rPr>
      <t>ԑ</t>
    </r>
    <r>
      <rPr>
        <sz val="8"/>
        <color theme="1"/>
        <rFont val="Calibri"/>
        <family val="2"/>
        <scheme val="minor"/>
      </rPr>
      <t>α</t>
    </r>
    <r>
      <rPr>
        <sz val="11"/>
        <color theme="1"/>
        <rFont val="Calibri"/>
        <family val="2"/>
        <scheme val="minor"/>
      </rPr>
      <t>)^(1/3)=</t>
    </r>
  </si>
  <si>
    <r>
      <t>a"=(2/3)K</t>
    </r>
    <r>
      <rPr>
        <sz val="8"/>
        <color theme="1"/>
        <rFont val="Calibri"/>
        <family val="2"/>
        <scheme val="minor"/>
      </rPr>
      <t>rs</t>
    </r>
    <r>
      <rPr>
        <sz val="11"/>
        <color theme="1"/>
        <rFont val="Calibri"/>
        <family val="2"/>
        <scheme val="minor"/>
      </rPr>
      <t>(a'-v</t>
    </r>
    <r>
      <rPr>
        <sz val="8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)=</t>
    </r>
  </si>
  <si>
    <r>
      <t>A</t>
    </r>
    <r>
      <rPr>
        <sz val="8"/>
        <color theme="1"/>
        <rFont val="Calibri"/>
        <family val="2"/>
        <scheme val="minor"/>
      </rPr>
      <t>unif</t>
    </r>
    <r>
      <rPr>
        <sz val="11"/>
        <color theme="1"/>
        <rFont val="Calibri"/>
        <family val="2"/>
        <scheme val="minor"/>
      </rPr>
      <t>=a"b'=</t>
    </r>
  </si>
  <si>
    <t>mm²</t>
  </si>
  <si>
    <r>
      <rPr>
        <sz val="14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>unif</t>
    </r>
    <r>
      <rPr>
        <sz val="11"/>
        <color theme="1"/>
        <rFont val="Calibri"/>
        <family val="2"/>
        <scheme val="minor"/>
      </rPr>
      <t>=V</t>
    </r>
    <r>
      <rPr>
        <sz val="8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/A</t>
    </r>
    <r>
      <rPr>
        <sz val="8"/>
        <color theme="1"/>
        <rFont val="Calibri"/>
        <family val="2"/>
        <scheme val="minor"/>
      </rPr>
      <t>unif</t>
    </r>
    <r>
      <rPr>
        <sz val="11"/>
        <color theme="1"/>
        <rFont val="Calibri"/>
        <family val="2"/>
        <scheme val="minor"/>
      </rPr>
      <t>=</t>
    </r>
  </si>
  <si>
    <r>
      <t>a"</t>
    </r>
    <r>
      <rPr>
        <sz val="8"/>
        <color theme="1"/>
        <rFont val="Calibri"/>
        <family val="2"/>
        <scheme val="minor"/>
      </rPr>
      <t>tr</t>
    </r>
    <r>
      <rPr>
        <sz val="11"/>
        <color theme="1"/>
        <rFont val="Calibri"/>
        <family val="2"/>
        <scheme val="minor"/>
      </rPr>
      <t>=1,5a"=</t>
    </r>
  </si>
  <si>
    <r>
      <rPr>
        <sz val="14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>tr</t>
    </r>
    <r>
      <rPr>
        <sz val="11"/>
        <color theme="1"/>
        <rFont val="Calibri"/>
        <family val="2"/>
        <scheme val="minor"/>
      </rPr>
      <t>=V</t>
    </r>
    <r>
      <rPr>
        <sz val="8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/(a"</t>
    </r>
    <r>
      <rPr>
        <sz val="8"/>
        <color theme="1"/>
        <rFont val="Calibri"/>
        <family val="2"/>
        <scheme val="minor"/>
      </rPr>
      <t>tr</t>
    </r>
    <r>
      <rPr>
        <sz val="11"/>
        <color theme="1"/>
        <rFont val="Calibri"/>
        <family val="2"/>
        <scheme val="minor"/>
      </rPr>
      <t>b')=</t>
    </r>
  </si>
  <si>
    <r>
      <rPr>
        <sz val="14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>tr</t>
    </r>
    <r>
      <rPr>
        <sz val="11"/>
        <color theme="1"/>
        <rFont val="Calibri"/>
        <family val="2"/>
        <scheme val="minor"/>
      </rPr>
      <t>&lt;</t>
    </r>
    <r>
      <rPr>
        <sz val="14"/>
        <color theme="1"/>
        <rFont val="Calibri"/>
        <family val="2"/>
        <scheme val="minor"/>
      </rPr>
      <t>σ</t>
    </r>
    <r>
      <rPr>
        <sz val="8"/>
        <color theme="1"/>
        <rFont val="Calibri"/>
        <family val="2"/>
        <scheme val="minor"/>
      </rPr>
      <t>lim</t>
    </r>
  </si>
  <si>
    <t>l</t>
  </si>
  <si>
    <t>L</t>
  </si>
  <si>
    <t>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</si>
</sst>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3" fillId="0" borderId="3" xfId="0" applyFont="1" applyBorder="1"/>
    <xf numFmtId="0" fontId="0" fillId="2" borderId="0" xfId="0" applyFont="1" applyFill="1"/>
    <xf numFmtId="0" fontId="0" fillId="3" borderId="1" xfId="0" applyFill="1" applyBorder="1"/>
    <xf numFmtId="0" fontId="0" fillId="3" borderId="5" xfId="0" applyFill="1" applyBorder="1"/>
    <xf numFmtId="0" fontId="0" fillId="3" borderId="0" xfId="0" applyFill="1"/>
    <xf numFmtId="0" fontId="0" fillId="2" borderId="0" xfId="0" applyFill="1"/>
    <xf numFmtId="0" fontId="2" fillId="5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5" borderId="0" xfId="0" applyFill="1"/>
    <xf numFmtId="0" fontId="0" fillId="5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Font="1" applyFill="1" applyBorder="1"/>
    <xf numFmtId="0" fontId="0" fillId="5" borderId="3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7" xfId="0" applyBorder="1" applyAlignment="1"/>
  </cellXfs>
  <cellStyles count="1">
    <cellStyle name="Normal" xfId="0" builtinId="0"/>
  </cellStyles>
  <dxfs count="6"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8"/>
  <sheetViews>
    <sheetView tabSelected="1" topLeftCell="A88" workbookViewId="0">
      <selection activeCell="I101" sqref="I101"/>
    </sheetView>
  </sheetViews>
  <sheetFormatPr baseColWidth="10" defaultRowHeight="15"/>
  <cols>
    <col min="1" max="1" width="12.28515625" customWidth="1"/>
    <col min="2" max="2" width="10.5703125" customWidth="1"/>
    <col min="3" max="3" width="13.42578125" customWidth="1"/>
    <col min="4" max="4" width="14.5703125" customWidth="1"/>
    <col min="5" max="5" width="12" bestFit="1" customWidth="1"/>
  </cols>
  <sheetData>
    <row r="1" spans="1:7" ht="26.25">
      <c r="A1" s="2" t="s">
        <v>0</v>
      </c>
      <c r="B1" s="2"/>
      <c r="C1" s="2"/>
      <c r="G1" s="15" t="s">
        <v>82</v>
      </c>
    </row>
    <row r="3" spans="1:7">
      <c r="A3" t="s">
        <v>1</v>
      </c>
      <c r="C3" t="s">
        <v>4</v>
      </c>
    </row>
    <row r="4" spans="1:7" ht="15.75" thickBot="1"/>
    <row r="5" spans="1:7" ht="15.75" thickBot="1">
      <c r="A5" s="6"/>
      <c r="B5" s="8" t="s">
        <v>5</v>
      </c>
      <c r="C5" s="5" t="s">
        <v>6</v>
      </c>
      <c r="D5" s="9" t="s">
        <v>7</v>
      </c>
    </row>
    <row r="6" spans="1:7" ht="15.75" thickBot="1">
      <c r="A6" s="8" t="s">
        <v>2</v>
      </c>
      <c r="B6" s="11">
        <v>0.84599999999999997</v>
      </c>
      <c r="C6" s="12">
        <v>2.3E-2</v>
      </c>
      <c r="D6" s="11">
        <v>18.399999999999999</v>
      </c>
    </row>
    <row r="7" spans="1:7" ht="15.75" thickBot="1">
      <c r="A7" s="7" t="s">
        <v>3</v>
      </c>
      <c r="B7" s="11">
        <v>0.39400000000000002</v>
      </c>
      <c r="C7" s="12">
        <v>1.35E-2</v>
      </c>
      <c r="D7" s="11">
        <v>28.4</v>
      </c>
    </row>
    <row r="10" spans="1:7">
      <c r="A10" s="1" t="s">
        <v>8</v>
      </c>
    </row>
    <row r="12" spans="1:7">
      <c r="A12" s="4" t="s">
        <v>14</v>
      </c>
      <c r="D12" t="s">
        <v>23</v>
      </c>
    </row>
    <row r="14" spans="1:7">
      <c r="A14" t="s">
        <v>11</v>
      </c>
      <c r="C14" t="s">
        <v>12</v>
      </c>
      <c r="D14" s="13">
        <v>25</v>
      </c>
      <c r="E14" t="s">
        <v>9</v>
      </c>
    </row>
    <row r="16" spans="1:7" ht="18.75">
      <c r="A16" t="s">
        <v>66</v>
      </c>
      <c r="C16" t="s">
        <v>30</v>
      </c>
      <c r="D16" s="10">
        <f>(B6/D14)</f>
        <v>3.3840000000000002E-2</v>
      </c>
      <c r="E16" t="s">
        <v>10</v>
      </c>
    </row>
    <row r="18" spans="1:7">
      <c r="A18" s="4" t="s">
        <v>13</v>
      </c>
    </row>
    <row r="20" spans="1:7" ht="18.75">
      <c r="A20" s="3" t="s">
        <v>49</v>
      </c>
      <c r="C20" t="s">
        <v>26</v>
      </c>
      <c r="E20" t="s">
        <v>27</v>
      </c>
    </row>
    <row r="22" spans="1:7">
      <c r="A22" t="s">
        <v>15</v>
      </c>
      <c r="B22" t="s">
        <v>24</v>
      </c>
      <c r="C22">
        <f>C6</f>
        <v>2.3E-2</v>
      </c>
      <c r="D22" t="s">
        <v>16</v>
      </c>
    </row>
    <row r="24" spans="1:7">
      <c r="A24" t="s">
        <v>17</v>
      </c>
      <c r="C24" s="13">
        <v>7</v>
      </c>
      <c r="D24" t="s">
        <v>18</v>
      </c>
      <c r="E24" s="13">
        <v>8</v>
      </c>
      <c r="F24" t="s">
        <v>19</v>
      </c>
      <c r="G24" t="s">
        <v>53</v>
      </c>
    </row>
    <row r="25" spans="1:7">
      <c r="B25" t="s">
        <v>20</v>
      </c>
      <c r="C25" s="13">
        <v>2</v>
      </c>
      <c r="D25" t="s">
        <v>21</v>
      </c>
      <c r="E25" s="13">
        <v>4</v>
      </c>
      <c r="F25" t="s">
        <v>19</v>
      </c>
      <c r="G25" t="s">
        <v>54</v>
      </c>
    </row>
    <row r="27" spans="1:7">
      <c r="B27" t="s">
        <v>22</v>
      </c>
      <c r="C27" t="s">
        <v>25</v>
      </c>
      <c r="D27" s="14">
        <f>(C24*E24)+(C25*E25)</f>
        <v>64</v>
      </c>
      <c r="E27" t="s">
        <v>19</v>
      </c>
    </row>
    <row r="29" spans="1:7">
      <c r="A29" s="4" t="s">
        <v>28</v>
      </c>
    </row>
    <row r="31" spans="1:7">
      <c r="A31" t="s">
        <v>29</v>
      </c>
      <c r="C31" t="s">
        <v>31</v>
      </c>
      <c r="D31" s="14">
        <f>(B7/3)</f>
        <v>0.13133333333333333</v>
      </c>
      <c r="E31" t="s">
        <v>10</v>
      </c>
    </row>
    <row r="33" spans="1:7">
      <c r="A33" t="s">
        <v>32</v>
      </c>
      <c r="C33" t="s">
        <v>33</v>
      </c>
      <c r="D33" t="s">
        <v>34</v>
      </c>
      <c r="E33" t="s">
        <v>39</v>
      </c>
    </row>
    <row r="34" spans="1:7">
      <c r="C34" s="13">
        <v>0.25</v>
      </c>
      <c r="D34" s="13">
        <v>0.3</v>
      </c>
      <c r="E34" s="14">
        <f>(C34*D34)</f>
        <v>7.4999999999999997E-2</v>
      </c>
    </row>
    <row r="36" spans="1:7">
      <c r="B36" t="s">
        <v>36</v>
      </c>
      <c r="C36" t="s">
        <v>37</v>
      </c>
      <c r="D36" t="s">
        <v>38</v>
      </c>
      <c r="E36" t="s">
        <v>35</v>
      </c>
    </row>
    <row r="37" spans="1:7">
      <c r="C37" s="14">
        <f>(C34-0.01)</f>
        <v>0.24</v>
      </c>
      <c r="D37" s="14">
        <f>(D34-0.01)</f>
        <v>0.28999999999999998</v>
      </c>
      <c r="E37" s="14">
        <f>(C37*D37)</f>
        <v>6.9599999999999995E-2</v>
      </c>
    </row>
    <row r="39" spans="1:7">
      <c r="A39" t="s">
        <v>40</v>
      </c>
      <c r="B39" t="s">
        <v>41</v>
      </c>
      <c r="D39" s="14">
        <f>E37*(1-(C6/C37))</f>
        <v>6.293E-2</v>
      </c>
      <c r="E39" t="s">
        <v>10</v>
      </c>
      <c r="G39" s="16"/>
    </row>
    <row r="40" spans="1:7" ht="15.75" thickBot="1">
      <c r="D40" s="16"/>
    </row>
    <row r="41" spans="1:7" ht="15.75" thickBot="1">
      <c r="A41" t="s">
        <v>42</v>
      </c>
      <c r="C41">
        <f>D39</f>
        <v>6.293E-2</v>
      </c>
      <c r="D41" s="18" t="str">
        <f>IF(C41&gt;E41,"&gt;",IF(C41&lt;E41,"&lt;",IF(C41=E41,"=")))</f>
        <v>&gt;</v>
      </c>
      <c r="E41">
        <f>D16</f>
        <v>3.3840000000000002E-2</v>
      </c>
      <c r="G41" s="22" t="str">
        <f>IF(D41="&gt;","OK","!!!")</f>
        <v>OK</v>
      </c>
    </row>
    <row r="42" spans="1:7">
      <c r="D42" s="16"/>
    </row>
    <row r="43" spans="1:7">
      <c r="A43" s="4" t="s">
        <v>43</v>
      </c>
      <c r="D43" t="s">
        <v>47</v>
      </c>
      <c r="E43" s="13">
        <v>0.9</v>
      </c>
    </row>
    <row r="45" spans="1:7">
      <c r="A45" t="s">
        <v>44</v>
      </c>
      <c r="C45" s="14">
        <f>(E37/(2*(E24/1000)*(C37+D37)))</f>
        <v>8.2075471698113187</v>
      </c>
    </row>
    <row r="47" spans="1:7" ht="18.75">
      <c r="A47" t="s">
        <v>45</v>
      </c>
      <c r="C47" s="3" t="s">
        <v>64</v>
      </c>
      <c r="E47" s="14">
        <f>(B6/D39)</f>
        <v>13.443508660416335</v>
      </c>
      <c r="F47" t="s">
        <v>9</v>
      </c>
    </row>
    <row r="49" spans="1:7" ht="18.75">
      <c r="A49" t="s">
        <v>46</v>
      </c>
      <c r="C49" s="3" t="s">
        <v>65</v>
      </c>
      <c r="E49" s="14">
        <f>(2*C37*E43*C45)/(3*(D27/1000))</f>
        <v>18.466981132075468</v>
      </c>
      <c r="F49" t="s">
        <v>9</v>
      </c>
    </row>
    <row r="50" spans="1:7" ht="15.75" thickBot="1"/>
    <row r="51" spans="1:7" ht="19.5" thickBot="1">
      <c r="A51" t="s">
        <v>81</v>
      </c>
      <c r="C51">
        <f>E47</f>
        <v>13.443508660416335</v>
      </c>
      <c r="D51" s="18" t="str">
        <f>IF(C51&gt;E51,"&gt;",IF(C51&lt;E51,"&lt;",IF(C51=E51,"=")))</f>
        <v>&lt;</v>
      </c>
      <c r="E51">
        <f>E49</f>
        <v>18.466981132075468</v>
      </c>
      <c r="G51" s="22" t="str">
        <f>IF(D51="&lt;","OK","!!!")</f>
        <v>OK</v>
      </c>
    </row>
    <row r="52" spans="1:7">
      <c r="D52" s="17"/>
    </row>
    <row r="53" spans="1:7">
      <c r="A53" s="4" t="s">
        <v>48</v>
      </c>
      <c r="E53" t="s">
        <v>52</v>
      </c>
      <c r="F53" s="14">
        <f>((MAX(D6,D7)/1000+0.003))</f>
        <v>3.1399999999999997E-2</v>
      </c>
    </row>
    <row r="55" spans="1:7" ht="18.75">
      <c r="A55" t="s">
        <v>50</v>
      </c>
      <c r="D55" s="14">
        <f>((1.5*B6)/(E43*D39*C45))</f>
        <v>2.729907888896804</v>
      </c>
    </row>
    <row r="57" spans="1:7" ht="18.75">
      <c r="A57" t="s">
        <v>51</v>
      </c>
      <c r="D57" s="14">
        <f>(C6/(D27/1000))</f>
        <v>0.359375</v>
      </c>
    </row>
    <row r="59" spans="1:7" ht="18.75">
      <c r="A59" t="s">
        <v>55</v>
      </c>
      <c r="D59" s="14">
        <f>((C37^2*F53*(E24/1000))/(2*(6*(E24/1000)^3+(2*(E25/1000)^3))))</f>
        <v>2.2607999999999997</v>
      </c>
    </row>
    <row r="60" spans="1:7" ht="15.75" thickBot="1"/>
    <row r="61" spans="1:7" ht="19.5" thickBot="1">
      <c r="A61" t="s">
        <v>57</v>
      </c>
      <c r="C61" s="14">
        <f>SUM(D55+D57+D59)</f>
        <v>5.3500828888968037</v>
      </c>
      <c r="D61" s="19" t="str">
        <f>IF(C61&lt;E61,"&lt;",IF(C61=E61,"=",IF(C61&gt;E61,"&gt;")))</f>
        <v>&lt;</v>
      </c>
      <c r="E61">
        <v>7</v>
      </c>
      <c r="G61" s="22" t="str">
        <f>(IF(D61="&lt;","OK","!!!"))</f>
        <v>OK</v>
      </c>
    </row>
    <row r="63" spans="1:7">
      <c r="A63" s="4" t="s">
        <v>56</v>
      </c>
      <c r="D63" t="s">
        <v>59</v>
      </c>
      <c r="E63" s="13">
        <v>2000</v>
      </c>
    </row>
    <row r="65" spans="1:7">
      <c r="A65" s="3" t="s">
        <v>58</v>
      </c>
      <c r="D65" s="14">
        <f>((B7*(C24*(E24/1000))/((1/5*E43*C45)+(1/E63))))</f>
        <v>1.4929710889673358E-2</v>
      </c>
      <c r="E65" t="s">
        <v>16</v>
      </c>
    </row>
    <row r="67" spans="1:7">
      <c r="A67" t="s">
        <v>60</v>
      </c>
      <c r="D67" s="14">
        <f>((C37*F53+D37*0)/3)</f>
        <v>2.5119999999999999E-3</v>
      </c>
      <c r="E67" t="s">
        <v>16</v>
      </c>
    </row>
    <row r="68" spans="1:7" ht="15.75" thickBot="1"/>
    <row r="69" spans="1:7" ht="15.75" thickBot="1">
      <c r="A69" t="s">
        <v>61</v>
      </c>
      <c r="C69">
        <f>D65</f>
        <v>1.4929710889673358E-2</v>
      </c>
      <c r="D69" s="19" t="str">
        <f>IF(C69&gt;E69,"&gt;",IF(C69&lt;E69,"&lt;",IF(C69=E69,"=")))</f>
        <v>&gt;</v>
      </c>
      <c r="E69">
        <f>D67</f>
        <v>2.5119999999999999E-3</v>
      </c>
      <c r="G69" s="22" t="str">
        <f>IF(D69="&gt;","OK","!!!")</f>
        <v>OK</v>
      </c>
    </row>
    <row r="71" spans="1:7">
      <c r="A71" s="4" t="s">
        <v>62</v>
      </c>
    </row>
    <row r="73" spans="1:7">
      <c r="A73" t="s">
        <v>63</v>
      </c>
      <c r="C73" s="14">
        <f>(E37*(1-(C6/C37)))</f>
        <v>6.293E-2</v>
      </c>
      <c r="D73" t="s">
        <v>10</v>
      </c>
    </row>
    <row r="75" spans="1:7" ht="18.75">
      <c r="A75" t="s">
        <v>67</v>
      </c>
      <c r="C75" s="14">
        <f>(B7/C73)</f>
        <v>6.2609248371206103</v>
      </c>
      <c r="D75" t="s">
        <v>9</v>
      </c>
    </row>
    <row r="77" spans="1:7" ht="18.75">
      <c r="A77" t="s">
        <v>71</v>
      </c>
      <c r="C77" s="14">
        <f>(0.1+((1.5*0.6)/C75))</f>
        <v>0.243748730964467</v>
      </c>
    </row>
    <row r="79" spans="1:7">
      <c r="A79" t="s">
        <v>68</v>
      </c>
      <c r="C79" s="14">
        <f>((C7/(D27/1000))*E43*C37*D37)</f>
        <v>1.3213124999999999E-2</v>
      </c>
      <c r="D79" t="s">
        <v>70</v>
      </c>
      <c r="E79" s="13" t="s">
        <v>69</v>
      </c>
    </row>
    <row r="80" spans="1:7" ht="15.75" thickBot="1"/>
    <row r="81" spans="1:7" ht="19.5" thickBot="1">
      <c r="A81" t="s">
        <v>72</v>
      </c>
      <c r="C81" s="14">
        <f>(C77*B7)</f>
        <v>9.6036999999999997E-2</v>
      </c>
      <c r="D81" s="19" t="str">
        <f>IF(C81&gt;E81,"&gt;",IF(C81&lt;E81,"&lt;",IF(C81=E81,"=")))</f>
        <v>&gt;</v>
      </c>
      <c r="E81">
        <f>C79</f>
        <v>1.3213124999999999E-2</v>
      </c>
      <c r="G81" s="22" t="str">
        <f>IF(D81="&gt;","OK","!!!")</f>
        <v>OK</v>
      </c>
    </row>
    <row r="83" spans="1:7">
      <c r="A83" s="4" t="s">
        <v>73</v>
      </c>
    </row>
    <row r="85" spans="1:7">
      <c r="A85" t="s">
        <v>76</v>
      </c>
      <c r="D85" t="s">
        <v>77</v>
      </c>
      <c r="E85" s="14">
        <f>((2.6*B6*(2*(E25/1000))/(D39*235)))</f>
        <v>1.1898935324964248E-3</v>
      </c>
      <c r="F85" t="s">
        <v>16</v>
      </c>
    </row>
    <row r="87" spans="1:7">
      <c r="A87" t="s">
        <v>91</v>
      </c>
      <c r="F87" s="13">
        <v>3</v>
      </c>
      <c r="G87" t="s">
        <v>74</v>
      </c>
    </row>
    <row r="88" spans="1:7">
      <c r="A88" t="s">
        <v>75</v>
      </c>
    </row>
    <row r="90" spans="1:7">
      <c r="A90" s="4" t="s">
        <v>93</v>
      </c>
    </row>
    <row r="91" spans="1:7">
      <c r="A91" s="4" t="s">
        <v>92</v>
      </c>
    </row>
    <row r="93" spans="1:7">
      <c r="A93" t="s">
        <v>88</v>
      </c>
      <c r="D93" s="10">
        <f>((D6/1000)-0.003)</f>
        <v>1.54E-2</v>
      </c>
    </row>
    <row r="94" spans="1:7">
      <c r="A94" t="s">
        <v>87</v>
      </c>
      <c r="D94" s="10">
        <f>(C24+(2*(C24/E24)^3))</f>
        <v>8.33984375</v>
      </c>
    </row>
    <row r="95" spans="1:7">
      <c r="A95" t="s">
        <v>86</v>
      </c>
      <c r="D95" s="13">
        <v>2.29</v>
      </c>
    </row>
    <row r="96" spans="1:7">
      <c r="A96" t="s">
        <v>85</v>
      </c>
      <c r="D96" s="13">
        <v>70.8</v>
      </c>
    </row>
    <row r="98" spans="1:7">
      <c r="A98" t="s">
        <v>84</v>
      </c>
      <c r="D98" s="10">
        <f>((D95*((E43*D93*((C37*1000)^5)*(D37*1000)))/(D94*(C24^3)*D96))/1000000)</f>
        <v>36.188253782256652</v>
      </c>
      <c r="E98" t="s">
        <v>83</v>
      </c>
    </row>
    <row r="100" spans="1:7">
      <c r="A100" t="s">
        <v>89</v>
      </c>
      <c r="D100" s="14">
        <f>(D98/B6)</f>
        <v>42.775713690610701</v>
      </c>
      <c r="E100" t="s">
        <v>19</v>
      </c>
    </row>
    <row r="101" spans="1:7" ht="15.75" thickBot="1"/>
    <row r="102" spans="1:7" ht="15.75" thickBot="1">
      <c r="A102" t="s">
        <v>90</v>
      </c>
      <c r="C102">
        <f>(6*D100)</f>
        <v>256.6542821436642</v>
      </c>
      <c r="D102" s="19" t="str">
        <f>IF(C102&lt;E102,"&lt;",IF(C102&gt;E102,"&gt;",IF(C102=E102,"=")))</f>
        <v>&gt;</v>
      </c>
      <c r="E102">
        <f>(C37*1000)</f>
        <v>240</v>
      </c>
      <c r="G102" s="23" t="str">
        <f>IF(D102="&lt;","OK","!!!")</f>
        <v>!!!</v>
      </c>
    </row>
    <row r="103" spans="1:7" ht="15.75" thickBot="1">
      <c r="D103" s="19"/>
      <c r="G103" s="25"/>
    </row>
    <row r="104" spans="1:7" ht="15.75" thickBot="1">
      <c r="A104" s="28" t="str">
        <f>IF(G102="!!!","Il y a décollement partiel de l'appareil, calcul de la nouvelle surface d'appui",IF(G102="OK","l'appareil d'appui convient"))</f>
        <v>Il y a décollement partiel de l'appareil, calcul de la nouvelle surface d'appui</v>
      </c>
      <c r="B104" s="29"/>
      <c r="C104" s="29"/>
      <c r="D104" s="29"/>
      <c r="E104" s="29"/>
      <c r="F104" s="30"/>
      <c r="G104" s="25"/>
    </row>
    <row r="106" spans="1:7">
      <c r="A106" s="4" t="s">
        <v>94</v>
      </c>
    </row>
    <row r="108" spans="1:7" ht="18.75">
      <c r="A108" t="s">
        <v>95</v>
      </c>
      <c r="D108">
        <f>((D55/D95)/D59)^(1/3)</f>
        <v>0.8078860744209555</v>
      </c>
    </row>
    <row r="110" spans="1:7">
      <c r="A110" t="s">
        <v>96</v>
      </c>
      <c r="D110">
        <f>((2/3)*D108*((C37*1000)-(C6*1000)))</f>
        <v>116.87418543289822</v>
      </c>
      <c r="E110" t="s">
        <v>19</v>
      </c>
    </row>
    <row r="112" spans="1:7">
      <c r="A112" t="s">
        <v>97</v>
      </c>
      <c r="D112">
        <f>(D110*(D37*1000))</f>
        <v>33893.513775540479</v>
      </c>
      <c r="E112" t="s">
        <v>98</v>
      </c>
    </row>
    <row r="114" spans="1:7" ht="18.75">
      <c r="A114" t="s">
        <v>99</v>
      </c>
      <c r="D114">
        <f>((B6*1000000)/D112)</f>
        <v>24.96052801142508</v>
      </c>
      <c r="E114" t="s">
        <v>9</v>
      </c>
    </row>
    <row r="116" spans="1:7">
      <c r="A116" t="s">
        <v>100</v>
      </c>
      <c r="D116">
        <f>(D110*1.5)</f>
        <v>175.31127814934732</v>
      </c>
      <c r="E116" t="s">
        <v>19</v>
      </c>
    </row>
    <row r="118" spans="1:7" ht="18.75">
      <c r="A118" t="s">
        <v>101</v>
      </c>
      <c r="D118">
        <f>((B6*1000000)/(D116*(D37*1000)))</f>
        <v>16.64035200761672</v>
      </c>
      <c r="E118" t="s">
        <v>9</v>
      </c>
    </row>
    <row r="119" spans="1:7" ht="15.75" thickBot="1"/>
    <row r="120" spans="1:7" ht="19.5" thickBot="1">
      <c r="A120" t="s">
        <v>102</v>
      </c>
      <c r="C120">
        <f>D118</f>
        <v>16.64035200761672</v>
      </c>
      <c r="D120" s="19" t="str">
        <f>IF(C120&lt;E120,"&lt;",IF(C120&gt;E120,"&gt;",IF(C120=E120,"=")))</f>
        <v>&lt;</v>
      </c>
      <c r="E120">
        <f>E49</f>
        <v>18.466981132075468</v>
      </c>
      <c r="G120" s="22" t="str">
        <f>IF(D120="&lt;","OK","!!!")</f>
        <v>OK</v>
      </c>
    </row>
    <row r="123" spans="1:7">
      <c r="A123" t="s">
        <v>78</v>
      </c>
    </row>
    <row r="124" spans="1:7" ht="15.75" thickBot="1">
      <c r="A124" s="24" t="s">
        <v>103</v>
      </c>
      <c r="C124" s="24" t="s">
        <v>104</v>
      </c>
      <c r="E124" s="24" t="s">
        <v>105</v>
      </c>
    </row>
    <row r="125" spans="1:7">
      <c r="A125" s="26">
        <f>C34</f>
        <v>0.25</v>
      </c>
      <c r="B125" s="21" t="s">
        <v>79</v>
      </c>
      <c r="C125" s="26">
        <f>D34</f>
        <v>0.3</v>
      </c>
      <c r="D125" s="21" t="s">
        <v>79</v>
      </c>
      <c r="E125" s="26">
        <f>(D27/1000)</f>
        <v>6.4000000000000001E-2</v>
      </c>
    </row>
    <row r="126" spans="1:7" ht="15.75" thickBot="1">
      <c r="A126" s="27" t="s">
        <v>16</v>
      </c>
      <c r="B126" s="21"/>
      <c r="C126" s="27" t="s">
        <v>16</v>
      </c>
      <c r="D126" s="21"/>
      <c r="E126" s="27" t="s">
        <v>16</v>
      </c>
    </row>
    <row r="127" spans="1:7">
      <c r="A127" t="s">
        <v>80</v>
      </c>
      <c r="B127" s="20">
        <f>C24</f>
        <v>7</v>
      </c>
      <c r="C127" s="20" t="s">
        <v>18</v>
      </c>
      <c r="D127" s="20">
        <f>E24</f>
        <v>8</v>
      </c>
      <c r="E127" s="20" t="s">
        <v>19</v>
      </c>
    </row>
    <row r="128" spans="1:7">
      <c r="A128" t="s">
        <v>20</v>
      </c>
      <c r="B128" s="20">
        <f>C25</f>
        <v>2</v>
      </c>
      <c r="C128" s="20" t="s">
        <v>21</v>
      </c>
      <c r="D128" s="20">
        <f>E25</f>
        <v>4</v>
      </c>
      <c r="E128" s="20" t="s">
        <v>19</v>
      </c>
    </row>
  </sheetData>
  <mergeCells count="1">
    <mergeCell ref="A104:F104"/>
  </mergeCells>
  <conditionalFormatting sqref="G41 G51 G61 G69 G81 G102:G104">
    <cfRule type="containsText" dxfId="4" priority="8" operator="containsText" text="!!!">
      <formula>NOT(ISERROR(SEARCH("!!!",G41)))</formula>
    </cfRule>
  </conditionalFormatting>
  <conditionalFormatting sqref="G120">
    <cfRule type="containsText" dxfId="3" priority="2" operator="containsText" text="!!!">
      <formula>NOT(ISERROR(SEARCH("!!!",G120)))</formula>
    </cfRule>
  </conditionalFormatting>
  <conditionalFormatting sqref="A104">
    <cfRule type="containsText" dxfId="0" priority="1" operator="containsText" text="Il y a décollement partiel de l'appareil, calcul de la nouvelle surface d'appui">
      <formula>NOT(ISERROR(SEARCH("Il y a décollement partiel de l'appareil, calcul de la nouvelle surface d'appui",A104)))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Verron Pierre</dc:creator>
  <cp:lastModifiedBy>Verron Pierre</cp:lastModifiedBy>
  <cp:lastPrinted>2014-03-20T13:28:21Z</cp:lastPrinted>
  <dcterms:created xsi:type="dcterms:W3CDTF">2014-03-20T09:40:24Z</dcterms:created>
  <dcterms:modified xsi:type="dcterms:W3CDTF">2014-03-26T12:34:33Z</dcterms:modified>
</cp:coreProperties>
</file>