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9320" windowHeight="7935"/>
  </bookViews>
  <sheets>
    <sheet name="Attaque au sol" sheetId="1" r:id="rId1"/>
    <sheet name="Attaque maritime" sheetId="2" r:id="rId2"/>
    <sheet name="Caracteristiques Batiments" sheetId="3" r:id="rId3"/>
    <sheet name="Attaques coordonnées" sheetId="4" r:id="rId4"/>
  </sheets>
  <calcPr calcId="145621"/>
  <customWorkbookViews>
    <customWorkbookView name="Your User Name - Affichage personnalisé" guid="{754BBDAE-3FE2-41B7-9E16-92FAD5CD995A}" mergeInterval="0" personalView="1" maximized="1" xWindow="20" yWindow="40" windowWidth="1280" windowHeight="495" activeSheetId="1"/>
  </customWorkbookViews>
</workbook>
</file>

<file path=xl/calcChain.xml><?xml version="1.0" encoding="utf-8"?>
<calcChain xmlns="http://schemas.openxmlformats.org/spreadsheetml/2006/main">
  <c r="C12" i="2" l="1"/>
  <c r="O3" i="2"/>
  <c r="L69" i="3" l="1"/>
  <c r="J8" i="3" s="1"/>
  <c r="M69" i="3"/>
  <c r="K69" i="3"/>
  <c r="K63" i="3"/>
  <c r="M63" i="3"/>
  <c r="L63" i="3"/>
  <c r="I8" i="3" s="1"/>
  <c r="K57" i="3"/>
  <c r="S36" i="2"/>
  <c r="I7" i="4"/>
  <c r="J7" i="4"/>
  <c r="K7" i="4"/>
  <c r="L7" i="4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I8" i="4" l="1"/>
  <c r="K8" i="4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J8" i="4"/>
  <c r="J9" i="4" l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I9" i="4"/>
  <c r="I10" i="4" l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D14" i="4" l="1"/>
  <c r="E14" i="4"/>
  <c r="F14" i="4"/>
  <c r="G14" i="4"/>
  <c r="D15" i="4"/>
  <c r="E15" i="4"/>
  <c r="F15" i="4"/>
  <c r="G15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E6" i="4"/>
  <c r="F6" i="4"/>
  <c r="F10" i="4"/>
  <c r="G10" i="4"/>
  <c r="D6" i="4"/>
  <c r="G6" i="4"/>
  <c r="E35" i="2"/>
  <c r="G39" i="2"/>
  <c r="F39" i="2"/>
  <c r="E39" i="2"/>
  <c r="G35" i="2"/>
  <c r="G36" i="2" s="1"/>
  <c r="F35" i="2"/>
  <c r="F36" i="2" s="1"/>
  <c r="M60" i="3"/>
  <c r="G61" i="3"/>
  <c r="H61" i="3"/>
  <c r="I61" i="3"/>
  <c r="G62" i="3"/>
  <c r="H62" i="3"/>
  <c r="I62" i="3"/>
  <c r="G64" i="3"/>
  <c r="H64" i="3"/>
  <c r="I64" i="3"/>
  <c r="G65" i="3"/>
  <c r="H65" i="3"/>
  <c r="I65" i="3"/>
  <c r="G66" i="3"/>
  <c r="H66" i="3"/>
  <c r="I66" i="3"/>
  <c r="G69" i="3"/>
  <c r="H69" i="3"/>
  <c r="I69" i="3"/>
  <c r="G71" i="3"/>
  <c r="H71" i="3"/>
  <c r="I71" i="3"/>
  <c r="G74" i="3"/>
  <c r="H74" i="3"/>
  <c r="I74" i="3"/>
  <c r="G75" i="3"/>
  <c r="H75" i="3"/>
  <c r="I75" i="3"/>
  <c r="G76" i="3"/>
  <c r="H76" i="3"/>
  <c r="H77" i="3"/>
  <c r="I77" i="3"/>
  <c r="I78" i="3"/>
  <c r="H79" i="3"/>
  <c r="G80" i="3"/>
  <c r="H80" i="3"/>
  <c r="G82" i="3"/>
  <c r="G83" i="3"/>
  <c r="H84" i="3"/>
  <c r="I89" i="3"/>
  <c r="H92" i="3"/>
  <c r="I92" i="3"/>
  <c r="H93" i="3"/>
  <c r="G95" i="3"/>
  <c r="I95" i="3"/>
  <c r="H96" i="3"/>
  <c r="H57" i="3"/>
  <c r="I57" i="3"/>
  <c r="G57" i="3"/>
  <c r="S5" i="3"/>
  <c r="F6" i="3"/>
  <c r="M57" i="3"/>
  <c r="L57" i="3"/>
  <c r="H8" i="3" s="1"/>
  <c r="H6" i="3"/>
  <c r="C58" i="3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K72" i="3" l="1"/>
  <c r="K66" i="3"/>
  <c r="L66" i="3"/>
  <c r="L72" i="3"/>
  <c r="K60" i="3"/>
  <c r="M66" i="3"/>
  <c r="M72" i="3"/>
  <c r="L60" i="3"/>
  <c r="E36" i="2"/>
  <c r="L7" i="3"/>
  <c r="Q6" i="3"/>
  <c r="Q5" i="3"/>
  <c r="P5" i="3"/>
  <c r="P6" i="3"/>
  <c r="W14" i="3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W37" i="3" s="1"/>
  <c r="O6" i="3"/>
  <c r="O5" i="3"/>
  <c r="N6" i="3"/>
  <c r="N5" i="3"/>
  <c r="M6" i="3"/>
  <c r="M5" i="3"/>
  <c r="L5" i="3"/>
  <c r="L6" i="3"/>
  <c r="K6" i="3"/>
  <c r="K5" i="3"/>
  <c r="J5" i="3"/>
  <c r="H5" i="3"/>
  <c r="I5" i="3"/>
  <c r="E5" i="3"/>
  <c r="I6" i="3"/>
  <c r="J6" i="3"/>
  <c r="L47" i="3"/>
  <c r="L48" i="3" s="1"/>
  <c r="L49" i="3" s="1"/>
  <c r="L50" i="3" s="1"/>
  <c r="L51" i="3" s="1"/>
  <c r="L52" i="3" s="1"/>
  <c r="L39" i="3"/>
  <c r="L40" i="3" s="1"/>
  <c r="L41" i="3" s="1"/>
  <c r="L42" i="3" s="1"/>
  <c r="L43" i="3" s="1"/>
  <c r="L44" i="3" s="1"/>
  <c r="L34" i="3"/>
  <c r="L35" i="3" s="1"/>
  <c r="L36" i="3" s="1"/>
  <c r="L37" i="3" s="1"/>
  <c r="L33" i="3"/>
  <c r="L15" i="3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14" i="3"/>
  <c r="G6" i="3"/>
  <c r="E6" i="3"/>
  <c r="D5" i="3"/>
  <c r="E14" i="3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D6" i="3" s="1"/>
  <c r="C14" i="3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G7" i="4"/>
  <c r="S44" i="2"/>
  <c r="V44" i="2"/>
  <c r="W44" i="2"/>
  <c r="V36" i="2"/>
  <c r="R36" i="2"/>
  <c r="R44" i="2"/>
  <c r="W36" i="2"/>
  <c r="R33" i="2"/>
  <c r="AH24" i="1"/>
  <c r="AI24" i="1"/>
  <c r="AA24" i="1"/>
  <c r="AA26" i="1" s="1"/>
  <c r="D25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Z101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Z97" i="1"/>
  <c r="AA10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Z90" i="1"/>
  <c r="Z83" i="1"/>
  <c r="Z75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Z73" i="1"/>
  <c r="E25" i="1"/>
  <c r="D17" i="2"/>
  <c r="F8" i="2"/>
  <c r="K7" i="1"/>
  <c r="M7" i="1"/>
  <c r="N7" i="1"/>
  <c r="Q11" i="1"/>
  <c r="O11" i="1"/>
  <c r="N6" i="1"/>
  <c r="M6" i="1"/>
  <c r="K6" i="1"/>
  <c r="V41" i="2"/>
  <c r="W41" i="2"/>
  <c r="W40" i="2"/>
  <c r="V40" i="2"/>
  <c r="S41" i="2"/>
  <c r="S40" i="2"/>
  <c r="R41" i="2"/>
  <c r="R40" i="2"/>
  <c r="W39" i="2"/>
  <c r="V39" i="2"/>
  <c r="V42" i="2" s="1"/>
  <c r="S39" i="2"/>
  <c r="R39" i="2"/>
  <c r="R42" i="2" s="1"/>
  <c r="R31" i="2"/>
  <c r="S32" i="2"/>
  <c r="S33" i="2"/>
  <c r="W33" i="2"/>
  <c r="V33" i="2"/>
  <c r="V32" i="2"/>
  <c r="W32" i="2"/>
  <c r="W31" i="2"/>
  <c r="V31" i="2"/>
  <c r="S31" i="2"/>
  <c r="R32" i="2"/>
  <c r="V34" i="2"/>
  <c r="G26" i="2"/>
  <c r="F9" i="2"/>
  <c r="C26" i="2"/>
  <c r="F29" i="2"/>
  <c r="G12" i="2"/>
  <c r="G13" i="2"/>
  <c r="I20" i="2"/>
  <c r="H20" i="2"/>
  <c r="E20" i="2"/>
  <c r="D20" i="2"/>
  <c r="I17" i="2"/>
  <c r="H17" i="2"/>
  <c r="E17" i="2"/>
  <c r="S10" i="1"/>
  <c r="J11" i="2"/>
  <c r="J7" i="2"/>
  <c r="AK100" i="1"/>
  <c r="AB100" i="1"/>
  <c r="AC100" i="1"/>
  <c r="AD100" i="1"/>
  <c r="AE100" i="1"/>
  <c r="AF100" i="1"/>
  <c r="AG100" i="1"/>
  <c r="AH100" i="1"/>
  <c r="AI100" i="1"/>
  <c r="AJ100" i="1"/>
  <c r="AL100" i="1"/>
  <c r="AM100" i="1"/>
  <c r="Z100" i="1"/>
  <c r="Z86" i="1"/>
  <c r="AB58" i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A46" i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Z94" i="1"/>
  <c r="Z95" i="1"/>
  <c r="Z93" i="1"/>
  <c r="AE88" i="1"/>
  <c r="AB86" i="1"/>
  <c r="AB81" i="1"/>
  <c r="AE81" i="1"/>
  <c r="AE80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A80" i="1"/>
  <c r="AB80" i="1"/>
  <c r="AC80" i="1"/>
  <c r="AD80" i="1"/>
  <c r="AF80" i="1"/>
  <c r="AG80" i="1"/>
  <c r="AH80" i="1"/>
  <c r="AI80" i="1"/>
  <c r="AJ80" i="1"/>
  <c r="AK80" i="1"/>
  <c r="AL80" i="1"/>
  <c r="AM80" i="1"/>
  <c r="AA81" i="1"/>
  <c r="AC81" i="1"/>
  <c r="AD81" i="1"/>
  <c r="AF81" i="1"/>
  <c r="AG81" i="1"/>
  <c r="AH81" i="1"/>
  <c r="AI81" i="1"/>
  <c r="AJ81" i="1"/>
  <c r="AK81" i="1"/>
  <c r="AL81" i="1"/>
  <c r="AM81" i="1"/>
  <c r="Z80" i="1"/>
  <c r="Z81" i="1"/>
  <c r="Z79" i="1"/>
  <c r="AM86" i="1"/>
  <c r="AA86" i="1"/>
  <c r="AC86" i="1"/>
  <c r="AD86" i="1"/>
  <c r="AE86" i="1"/>
  <c r="AF86" i="1"/>
  <c r="AG86" i="1"/>
  <c r="AH86" i="1"/>
  <c r="AI86" i="1"/>
  <c r="AJ86" i="1"/>
  <c r="AK86" i="1"/>
  <c r="AL86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Z87" i="1"/>
  <c r="AA88" i="1"/>
  <c r="AB88" i="1"/>
  <c r="AC88" i="1"/>
  <c r="AD88" i="1"/>
  <c r="AF88" i="1"/>
  <c r="AG88" i="1"/>
  <c r="AH88" i="1"/>
  <c r="AI88" i="1"/>
  <c r="AJ88" i="1"/>
  <c r="AK88" i="1"/>
  <c r="AL88" i="1"/>
  <c r="AM88" i="1"/>
  <c r="Z88" i="1"/>
  <c r="Z71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Z72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C31" i="1"/>
  <c r="AB31" i="1"/>
  <c r="AA31" i="1"/>
  <c r="S42" i="2" l="1"/>
  <c r="W42" i="2"/>
  <c r="D7" i="4"/>
  <c r="R6" i="3"/>
  <c r="C13" i="2"/>
  <c r="R5" i="3"/>
  <c r="T5" i="3" s="1"/>
  <c r="R5" i="1"/>
  <c r="AM74" i="1"/>
  <c r="AK74" i="1"/>
  <c r="AI74" i="1"/>
  <c r="AG74" i="1"/>
  <c r="AE74" i="1"/>
  <c r="AC74" i="1"/>
  <c r="AA74" i="1"/>
  <c r="AB24" i="1"/>
  <c r="AB26" i="1" s="1"/>
  <c r="AC24" i="1"/>
  <c r="AC26" i="1" s="1"/>
  <c r="AL74" i="1"/>
  <c r="AJ74" i="1"/>
  <c r="AH74" i="1"/>
  <c r="AF74" i="1"/>
  <c r="AD74" i="1"/>
  <c r="AB74" i="1"/>
  <c r="S5" i="1"/>
  <c r="S54" i="1"/>
  <c r="W34" i="2"/>
  <c r="R34" i="2"/>
  <c r="S34" i="2"/>
  <c r="J17" i="2"/>
  <c r="J20" i="2"/>
  <c r="Z74" i="1"/>
  <c r="AE89" i="1"/>
  <c r="AC89" i="1"/>
  <c r="AM89" i="1"/>
  <c r="AK89" i="1"/>
  <c r="AI89" i="1"/>
  <c r="AG89" i="1"/>
  <c r="AA89" i="1"/>
  <c r="Z82" i="1"/>
  <c r="AE82" i="1"/>
  <c r="Z96" i="1"/>
  <c r="AM96" i="1"/>
  <c r="AK96" i="1"/>
  <c r="AI96" i="1"/>
  <c r="AG96" i="1"/>
  <c r="AE96" i="1"/>
  <c r="AC96" i="1"/>
  <c r="AA96" i="1"/>
  <c r="AL89" i="1"/>
  <c r="AJ89" i="1"/>
  <c r="AH89" i="1"/>
  <c r="AF89" i="1"/>
  <c r="AD89" i="1"/>
  <c r="AM82" i="1"/>
  <c r="AK82" i="1"/>
  <c r="AI82" i="1"/>
  <c r="AG82" i="1"/>
  <c r="AC82" i="1"/>
  <c r="AA82" i="1"/>
  <c r="AB89" i="1"/>
  <c r="AL96" i="1"/>
  <c r="AJ96" i="1"/>
  <c r="AH96" i="1"/>
  <c r="AF96" i="1"/>
  <c r="AD96" i="1"/>
  <c r="AB96" i="1"/>
  <c r="Z89" i="1"/>
  <c r="AL82" i="1"/>
  <c r="AJ82" i="1"/>
  <c r="AH82" i="1"/>
  <c r="AF82" i="1"/>
  <c r="AD82" i="1"/>
  <c r="AB82" i="1"/>
  <c r="O12" i="1"/>
  <c r="I25" i="1"/>
  <c r="O4" i="2"/>
  <c r="F25" i="1"/>
  <c r="O66" i="1"/>
  <c r="M66" i="1"/>
  <c r="J66" i="1"/>
  <c r="F66" i="1"/>
  <c r="E66" i="1"/>
  <c r="Q60" i="1"/>
  <c r="P54" i="1"/>
  <c r="N60" i="1"/>
  <c r="N61" i="1" s="1"/>
  <c r="L60" i="1"/>
  <c r="I60" i="1"/>
  <c r="G60" i="1"/>
  <c r="K54" i="1"/>
  <c r="H54" i="1"/>
  <c r="D54" i="1"/>
  <c r="G8" i="4" l="1"/>
  <c r="F8" i="4"/>
  <c r="K25" i="1"/>
  <c r="J25" i="1"/>
  <c r="D49" i="1"/>
  <c r="N62" i="1"/>
  <c r="O5" i="2"/>
  <c r="S60" i="1"/>
  <c r="S66" i="1"/>
  <c r="H14" i="1" l="1"/>
  <c r="H13" i="1"/>
  <c r="H18" i="2"/>
  <c r="I18" i="2"/>
  <c r="I19" i="2" s="1"/>
  <c r="I26" i="2" s="1"/>
  <c r="I27" i="2" s="1"/>
  <c r="E18" i="2"/>
  <c r="D18" i="2"/>
  <c r="H21" i="2"/>
  <c r="D21" i="2"/>
  <c r="D12" i="2" s="1"/>
  <c r="I21" i="2"/>
  <c r="E21" i="2"/>
  <c r="E12" i="2" s="1"/>
  <c r="D8" i="4"/>
  <c r="E8" i="4"/>
  <c r="G9" i="4"/>
  <c r="F9" i="4"/>
  <c r="J28" i="1"/>
  <c r="J29" i="1"/>
  <c r="F29" i="1"/>
  <c r="E29" i="1"/>
  <c r="N77" i="1"/>
  <c r="D29" i="1"/>
  <c r="E49" i="1"/>
  <c r="E13" i="2" l="1"/>
  <c r="E22" i="2"/>
  <c r="E29" i="2" s="1"/>
  <c r="E31" i="2" s="1"/>
  <c r="I12" i="2"/>
  <c r="I13" i="2" s="1"/>
  <c r="I22" i="2"/>
  <c r="I29" i="2" s="1"/>
  <c r="I31" i="2" s="1"/>
  <c r="H12" i="2"/>
  <c r="H13" i="2" s="1"/>
  <c r="H22" i="2"/>
  <c r="H29" i="2" s="1"/>
  <c r="H31" i="2" s="1"/>
  <c r="J21" i="2"/>
  <c r="D57" i="1"/>
  <c r="F57" i="1"/>
  <c r="H57" i="1"/>
  <c r="J57" i="1"/>
  <c r="L57" i="1"/>
  <c r="N57" i="1"/>
  <c r="N58" i="1" s="1"/>
  <c r="P57" i="1"/>
  <c r="R57" i="1"/>
  <c r="E57" i="1"/>
  <c r="G57" i="1"/>
  <c r="I57" i="1"/>
  <c r="K57" i="1"/>
  <c r="M57" i="1"/>
  <c r="M58" i="1" s="1"/>
  <c r="O57" i="1"/>
  <c r="O58" i="1" s="1"/>
  <c r="Q57" i="1"/>
  <c r="Q58" i="1" s="1"/>
  <c r="H19" i="2"/>
  <c r="H26" i="2" s="1"/>
  <c r="D22" i="2"/>
  <c r="E19" i="2"/>
  <c r="E26" i="2" s="1"/>
  <c r="D19" i="2"/>
  <c r="J18" i="2"/>
  <c r="S57" i="1"/>
  <c r="I26" i="1" s="1"/>
  <c r="G49" i="1"/>
  <c r="R69" i="1" s="1"/>
  <c r="F49" i="1"/>
  <c r="E9" i="4" l="1"/>
  <c r="D9" i="4"/>
  <c r="G11" i="4"/>
  <c r="E63" i="1"/>
  <c r="G63" i="1"/>
  <c r="I63" i="1"/>
  <c r="K63" i="1"/>
  <c r="M63" i="1"/>
  <c r="M64" i="1" s="1"/>
  <c r="O63" i="1"/>
  <c r="O64" i="1" s="1"/>
  <c r="Q63" i="1"/>
  <c r="D63" i="1"/>
  <c r="F63" i="1"/>
  <c r="H63" i="1"/>
  <c r="J63" i="1"/>
  <c r="L63" i="1"/>
  <c r="N63" i="1"/>
  <c r="N64" i="1" s="1"/>
  <c r="P63" i="1"/>
  <c r="R63" i="1"/>
  <c r="D13" i="2"/>
  <c r="J19" i="2"/>
  <c r="D26" i="2"/>
  <c r="D27" i="2" s="1"/>
  <c r="D29" i="2"/>
  <c r="J22" i="2"/>
  <c r="F69" i="1"/>
  <c r="H69" i="1"/>
  <c r="J69" i="1"/>
  <c r="L69" i="1"/>
  <c r="L70" i="1" s="1"/>
  <c r="N69" i="1"/>
  <c r="N70" i="1" s="1"/>
  <c r="P69" i="1"/>
  <c r="P70" i="1" s="1"/>
  <c r="D69" i="1"/>
  <c r="E69" i="1"/>
  <c r="G69" i="1"/>
  <c r="I69" i="1"/>
  <c r="K69" i="1"/>
  <c r="M69" i="1"/>
  <c r="M70" i="1" s="1"/>
  <c r="O69" i="1"/>
  <c r="O70" i="1" s="1"/>
  <c r="Q69" i="1"/>
  <c r="S63" i="1"/>
  <c r="S69" i="1"/>
  <c r="U54" i="1"/>
  <c r="P58" i="1" s="1"/>
  <c r="C27" i="2" l="1"/>
  <c r="C8" i="2" s="1"/>
  <c r="G27" i="2"/>
  <c r="G8" i="2" s="1"/>
  <c r="F11" i="4"/>
  <c r="K58" i="1"/>
  <c r="K59" i="1" s="1"/>
  <c r="L58" i="1"/>
  <c r="R58" i="1"/>
  <c r="R59" i="1" s="1"/>
  <c r="P55" i="1"/>
  <c r="E58" i="1"/>
  <c r="D55" i="1"/>
  <c r="J58" i="1"/>
  <c r="F58" i="1"/>
  <c r="D58" i="1"/>
  <c r="I58" i="1"/>
  <c r="H58" i="1"/>
  <c r="G58" i="1"/>
  <c r="J29" i="2"/>
  <c r="D31" i="2"/>
  <c r="J26" i="2"/>
  <c r="U60" i="1"/>
  <c r="P64" i="1" s="1"/>
  <c r="J26" i="1"/>
  <c r="K55" i="1"/>
  <c r="K56" i="1" s="1"/>
  <c r="K77" i="1" s="1"/>
  <c r="D30" i="1"/>
  <c r="U66" i="1"/>
  <c r="O67" i="1" s="1"/>
  <c r="K26" i="1"/>
  <c r="H55" i="1"/>
  <c r="Q64" i="1"/>
  <c r="Q65" i="1" s="1"/>
  <c r="D70" i="1"/>
  <c r="D71" i="1" s="1"/>
  <c r="Q70" i="1"/>
  <c r="Q71" i="1" s="1"/>
  <c r="J67" i="1"/>
  <c r="O71" i="1"/>
  <c r="N71" i="1"/>
  <c r="M65" i="1"/>
  <c r="O59" i="1"/>
  <c r="M71" i="1"/>
  <c r="P71" i="1"/>
  <c r="L71" i="1"/>
  <c r="O65" i="1"/>
  <c r="N65" i="1"/>
  <c r="M59" i="1"/>
  <c r="E27" i="2" l="1"/>
  <c r="F30" i="2" s="1"/>
  <c r="H27" i="2"/>
  <c r="E8" i="2"/>
  <c r="D8" i="2"/>
  <c r="D10" i="4"/>
  <c r="E10" i="4"/>
  <c r="G13" i="4"/>
  <c r="G12" i="4"/>
  <c r="F12" i="4"/>
  <c r="P65" i="1"/>
  <c r="P56" i="1"/>
  <c r="P77" i="1" s="1"/>
  <c r="G61" i="1"/>
  <c r="G62" i="1" s="1"/>
  <c r="G77" i="1" s="1"/>
  <c r="L61" i="1"/>
  <c r="O68" i="1"/>
  <c r="O77" i="1" s="1"/>
  <c r="M67" i="1"/>
  <c r="M68" i="1" s="1"/>
  <c r="M77" i="1" s="1"/>
  <c r="R70" i="1"/>
  <c r="R71" i="1" s="1"/>
  <c r="I70" i="1"/>
  <c r="I71" i="1" s="1"/>
  <c r="J70" i="1"/>
  <c r="J71" i="1" s="1"/>
  <c r="D64" i="1"/>
  <c r="D65" i="1" s="1"/>
  <c r="H70" i="1"/>
  <c r="H71" i="1" s="1"/>
  <c r="E70" i="1"/>
  <c r="E71" i="1" s="1"/>
  <c r="E64" i="1"/>
  <c r="E65" i="1" s="1"/>
  <c r="G64" i="1"/>
  <c r="G65" i="1" s="1"/>
  <c r="I61" i="1"/>
  <c r="L64" i="1"/>
  <c r="L65" i="1" s="1"/>
  <c r="I64" i="1"/>
  <c r="I65" i="1" s="1"/>
  <c r="H64" i="1"/>
  <c r="H65" i="1" s="1"/>
  <c r="F70" i="1"/>
  <c r="F71" i="1" s="1"/>
  <c r="E67" i="1"/>
  <c r="G70" i="1"/>
  <c r="G71" i="1" s="1"/>
  <c r="F64" i="1"/>
  <c r="F65" i="1" s="1"/>
  <c r="C9" i="2"/>
  <c r="C28" i="2"/>
  <c r="G9" i="2"/>
  <c r="G28" i="2"/>
  <c r="J64" i="1"/>
  <c r="J65" i="1" s="1"/>
  <c r="R64" i="1"/>
  <c r="K64" i="1"/>
  <c r="K70" i="1"/>
  <c r="K71" i="1" s="1"/>
  <c r="H56" i="1"/>
  <c r="H77" i="1" s="1"/>
  <c r="F67" i="1"/>
  <c r="F30" i="1"/>
  <c r="Q61" i="1"/>
  <c r="E30" i="1"/>
  <c r="Q59" i="1"/>
  <c r="Q78" i="1" s="1"/>
  <c r="J59" i="1"/>
  <c r="H59" i="1"/>
  <c r="J68" i="1"/>
  <c r="J77" i="1" s="1"/>
  <c r="P59" i="1"/>
  <c r="L59" i="1"/>
  <c r="N59" i="1"/>
  <c r="N78" i="1" s="1"/>
  <c r="I59" i="1"/>
  <c r="F59" i="1"/>
  <c r="G59" i="1"/>
  <c r="D56" i="1"/>
  <c r="E59" i="1"/>
  <c r="M78" i="1"/>
  <c r="O78" i="1"/>
  <c r="D59" i="1"/>
  <c r="F12" i="2" l="1"/>
  <c r="F13" i="4"/>
  <c r="E11" i="4"/>
  <c r="P78" i="1"/>
  <c r="L62" i="1"/>
  <c r="L77" i="1" s="1"/>
  <c r="Q62" i="1"/>
  <c r="Q77" i="1" s="1"/>
  <c r="I28" i="2"/>
  <c r="I8" i="2"/>
  <c r="I9" i="2" s="1"/>
  <c r="H28" i="2"/>
  <c r="H8" i="2"/>
  <c r="H9" i="2" s="1"/>
  <c r="F68" i="1"/>
  <c r="F77" i="1" s="1"/>
  <c r="I62" i="1"/>
  <c r="I77" i="1" s="1"/>
  <c r="E68" i="1"/>
  <c r="E77" i="1" s="1"/>
  <c r="R65" i="1"/>
  <c r="R78" i="1" s="1"/>
  <c r="E78" i="1"/>
  <c r="I78" i="1"/>
  <c r="L78" i="1"/>
  <c r="H78" i="1"/>
  <c r="F78" i="1"/>
  <c r="G78" i="1"/>
  <c r="D28" i="2"/>
  <c r="J27" i="2"/>
  <c r="E28" i="2"/>
  <c r="D9" i="2"/>
  <c r="J78" i="1"/>
  <c r="K65" i="1"/>
  <c r="K78" i="1" s="1"/>
  <c r="D77" i="1"/>
  <c r="D78" i="1"/>
  <c r="J8" i="2" l="1"/>
  <c r="E37" i="2"/>
  <c r="E38" i="2" s="1"/>
  <c r="C43" i="2" s="1"/>
  <c r="D11" i="4"/>
  <c r="E9" i="2"/>
  <c r="J9" i="2" s="1"/>
  <c r="F37" i="2"/>
  <c r="E40" i="2"/>
  <c r="G40" i="2"/>
  <c r="F40" i="2"/>
  <c r="G37" i="2"/>
  <c r="S77" i="1"/>
  <c r="O82" i="1"/>
  <c r="M82" i="1"/>
  <c r="N82" i="1"/>
  <c r="J28" i="2"/>
  <c r="F31" i="2"/>
  <c r="J31" i="2" s="1"/>
  <c r="J30" i="2"/>
  <c r="S78" i="1"/>
  <c r="G38" i="2" l="1"/>
  <c r="C45" i="2" s="1"/>
  <c r="D45" i="2" s="1"/>
  <c r="E45" i="2" s="1"/>
  <c r="F45" i="2" s="1"/>
  <c r="F38" i="2"/>
  <c r="C44" i="2" s="1"/>
  <c r="D44" i="2" s="1"/>
  <c r="E44" i="2" s="1"/>
  <c r="F44" i="2" s="1"/>
  <c r="D43" i="2"/>
  <c r="E43" i="2" s="1"/>
  <c r="F43" i="2" s="1"/>
  <c r="G43" i="2" s="1"/>
  <c r="E12" i="4"/>
  <c r="D82" i="1"/>
  <c r="E82" i="1"/>
  <c r="F82" i="1"/>
  <c r="S98" i="1" s="1"/>
  <c r="F13" i="2"/>
  <c r="J13" i="2" s="1"/>
  <c r="N7" i="2" s="1"/>
  <c r="J12" i="2"/>
  <c r="D12" i="4" l="1"/>
  <c r="G44" i="2"/>
  <c r="G45" i="2"/>
  <c r="G82" i="1"/>
  <c r="R89" i="1" s="1"/>
  <c r="S86" i="1"/>
  <c r="S92" i="1"/>
  <c r="E13" i="4" l="1"/>
  <c r="M89" i="1"/>
  <c r="M90" i="1" s="1"/>
  <c r="E89" i="1"/>
  <c r="Q89" i="1"/>
  <c r="Q90" i="1" s="1"/>
  <c r="I89" i="1"/>
  <c r="P89" i="1"/>
  <c r="P90" i="1" s="1"/>
  <c r="L89" i="1"/>
  <c r="L90" i="1" s="1"/>
  <c r="H89" i="1"/>
  <c r="O89" i="1"/>
  <c r="O90" i="1" s="1"/>
  <c r="K89" i="1"/>
  <c r="G89" i="1"/>
  <c r="D89" i="1"/>
  <c r="N89" i="1"/>
  <c r="N90" i="1" s="1"/>
  <c r="J89" i="1"/>
  <c r="F89" i="1"/>
  <c r="G95" i="1"/>
  <c r="R101" i="1"/>
  <c r="R95" i="1"/>
  <c r="N95" i="1"/>
  <c r="N96" i="1" s="1"/>
  <c r="J95" i="1"/>
  <c r="F95" i="1"/>
  <c r="Q95" i="1"/>
  <c r="Q96" i="1" s="1"/>
  <c r="M95" i="1"/>
  <c r="M96" i="1" s="1"/>
  <c r="M97" i="1" s="1"/>
  <c r="I95" i="1"/>
  <c r="E95" i="1"/>
  <c r="P95" i="1"/>
  <c r="P96" i="1" s="1"/>
  <c r="P97" i="1" s="1"/>
  <c r="L95" i="1"/>
  <c r="H95" i="1"/>
  <c r="D95" i="1"/>
  <c r="O95" i="1"/>
  <c r="O96" i="1" s="1"/>
  <c r="K95" i="1"/>
  <c r="S95" i="1"/>
  <c r="G101" i="1"/>
  <c r="K101" i="1"/>
  <c r="K102" i="1" s="1"/>
  <c r="O101" i="1"/>
  <c r="O102" i="1" s="1"/>
  <c r="D101" i="1"/>
  <c r="H101" i="1"/>
  <c r="L101" i="1"/>
  <c r="L102" i="1" s="1"/>
  <c r="P101" i="1"/>
  <c r="P102" i="1" s="1"/>
  <c r="E101" i="1"/>
  <c r="I101" i="1"/>
  <c r="M101" i="1"/>
  <c r="M102" i="1" s="1"/>
  <c r="Q101" i="1"/>
  <c r="Q102" i="1" s="1"/>
  <c r="F101" i="1"/>
  <c r="J101" i="1"/>
  <c r="N101" i="1"/>
  <c r="N102" i="1" s="1"/>
  <c r="S101" i="1"/>
  <c r="S89" i="1"/>
  <c r="M98" i="1"/>
  <c r="M99" i="1" s="1"/>
  <c r="L92" i="1"/>
  <c r="L93" i="1" s="1"/>
  <c r="I92" i="1"/>
  <c r="G92" i="1"/>
  <c r="H86" i="1"/>
  <c r="F98" i="1"/>
  <c r="F99" i="1" s="1"/>
  <c r="K86" i="1"/>
  <c r="K87" i="1" s="1"/>
  <c r="E98" i="1"/>
  <c r="J98" i="1"/>
  <c r="N92" i="1"/>
  <c r="N93" i="1" s="1"/>
  <c r="D86" i="1"/>
  <c r="P86" i="1"/>
  <c r="P87" i="1" s="1"/>
  <c r="O98" i="1"/>
  <c r="Q92" i="1"/>
  <c r="O91" i="1" l="1"/>
  <c r="M91" i="1"/>
  <c r="D13" i="4"/>
  <c r="M83" i="1"/>
  <c r="U92" i="1"/>
  <c r="E31" i="1" s="1"/>
  <c r="N83" i="1"/>
  <c r="U98" i="1"/>
  <c r="F31" i="1" s="1"/>
  <c r="O83" i="1"/>
  <c r="U86" i="1"/>
  <c r="H87" i="1" s="1"/>
  <c r="J102" i="1"/>
  <c r="F102" i="1"/>
  <c r="F103" i="1" s="1"/>
  <c r="E102" i="1"/>
  <c r="D102" i="1"/>
  <c r="I102" i="1"/>
  <c r="H102" i="1"/>
  <c r="H103" i="1" s="1"/>
  <c r="G102" i="1"/>
  <c r="R102" i="1"/>
  <c r="R103" i="1" s="1"/>
  <c r="L96" i="1"/>
  <c r="L97" i="1" s="1"/>
  <c r="Q97" i="1"/>
  <c r="N97" i="1"/>
  <c r="O99" i="1"/>
  <c r="J99" i="1"/>
  <c r="M100" i="1"/>
  <c r="M109" i="1" s="1"/>
  <c r="O97" i="1"/>
  <c r="F100" i="1"/>
  <c r="F109" i="1" s="1"/>
  <c r="N103" i="1"/>
  <c r="M103" i="1"/>
  <c r="K103" i="1"/>
  <c r="Q103" i="1"/>
  <c r="P103" i="1"/>
  <c r="O103" i="1"/>
  <c r="P88" i="1"/>
  <c r="P109" i="1" s="1"/>
  <c r="N94" i="1"/>
  <c r="N109" i="1" s="1"/>
  <c r="K88" i="1"/>
  <c r="K109" i="1" s="1"/>
  <c r="Q91" i="1"/>
  <c r="P91" i="1"/>
  <c r="N91" i="1"/>
  <c r="L91" i="1"/>
  <c r="M110" i="1" l="1"/>
  <c r="E99" i="1"/>
  <c r="E100" i="1" s="1"/>
  <c r="E109" i="1" s="1"/>
  <c r="Q93" i="1"/>
  <c r="K90" i="1"/>
  <c r="K91" i="1" s="1"/>
  <c r="K96" i="1"/>
  <c r="F96" i="1"/>
  <c r="P110" i="1"/>
  <c r="I93" i="1"/>
  <c r="I94" i="1" s="1"/>
  <c r="I109" i="1" s="1"/>
  <c r="H96" i="1"/>
  <c r="H97" i="1" s="1"/>
  <c r="D96" i="1"/>
  <c r="D97" i="1" s="1"/>
  <c r="G96" i="1"/>
  <c r="I96" i="1"/>
  <c r="I97" i="1" s="1"/>
  <c r="E96" i="1"/>
  <c r="E97" i="1" s="1"/>
  <c r="R96" i="1"/>
  <c r="R97" i="1" s="1"/>
  <c r="J96" i="1"/>
  <c r="J97" i="1" s="1"/>
  <c r="G93" i="1"/>
  <c r="G94" i="1" s="1"/>
  <c r="G109" i="1" s="1"/>
  <c r="O100" i="1"/>
  <c r="O109" i="1" s="1"/>
  <c r="D31" i="1"/>
  <c r="G90" i="1"/>
  <c r="G91" i="1" s="1"/>
  <c r="J90" i="1"/>
  <c r="J91" i="1" s="1"/>
  <c r="R90" i="1"/>
  <c r="R91" i="1" s="1"/>
  <c r="E90" i="1"/>
  <c r="E91" i="1" s="1"/>
  <c r="D90" i="1"/>
  <c r="D91" i="1" s="1"/>
  <c r="F90" i="1"/>
  <c r="F91" i="1" s="1"/>
  <c r="I90" i="1"/>
  <c r="I91" i="1" s="1"/>
  <c r="H90" i="1"/>
  <c r="H91" i="1" s="1"/>
  <c r="D87" i="1"/>
  <c r="D88" i="1" s="1"/>
  <c r="D109" i="1" s="1"/>
  <c r="J100" i="1"/>
  <c r="J109" i="1" s="1"/>
  <c r="Q110" i="1"/>
  <c r="F97" i="1"/>
  <c r="G97" i="1"/>
  <c r="N110" i="1"/>
  <c r="O110" i="1"/>
  <c r="L103" i="1"/>
  <c r="L110" i="1" s="1"/>
  <c r="Q12" i="1"/>
  <c r="G103" i="1"/>
  <c r="Q94" i="1"/>
  <c r="Q109" i="1" s="1"/>
  <c r="I103" i="1"/>
  <c r="J103" i="1"/>
  <c r="D103" i="1"/>
  <c r="E103" i="1"/>
  <c r="L94" i="1"/>
  <c r="L109" i="1" s="1"/>
  <c r="H88" i="1"/>
  <c r="H109" i="1" s="1"/>
  <c r="K97" i="1" l="1"/>
  <c r="K110" i="1" s="1"/>
  <c r="H110" i="1"/>
  <c r="R110" i="1"/>
  <c r="D110" i="1"/>
  <c r="I110" i="1"/>
  <c r="J110" i="1"/>
  <c r="F110" i="1"/>
  <c r="E110" i="1"/>
  <c r="G110" i="1"/>
  <c r="S109" i="1"/>
  <c r="N114" i="1" l="1"/>
  <c r="O114" i="1"/>
  <c r="M114" i="1"/>
  <c r="S110" i="1"/>
  <c r="E114" i="1" s="1"/>
  <c r="D114" i="1" l="1"/>
  <c r="S118" i="1" s="1"/>
  <c r="F114" i="1"/>
  <c r="S124" i="1"/>
  <c r="S121" i="1" l="1"/>
  <c r="M115" i="1" s="1"/>
  <c r="R121" i="1"/>
  <c r="R122" i="1" s="1"/>
  <c r="J121" i="1"/>
  <c r="J122" i="1" s="1"/>
  <c r="N121" i="1"/>
  <c r="N122" i="1" s="1"/>
  <c r="Q121" i="1"/>
  <c r="Q122" i="1" s="1"/>
  <c r="Q123" i="1" s="1"/>
  <c r="P121" i="1"/>
  <c r="P122" i="1" s="1"/>
  <c r="L121" i="1"/>
  <c r="L122" i="1" s="1"/>
  <c r="F121" i="1"/>
  <c r="F122" i="1" s="1"/>
  <c r="I121" i="1"/>
  <c r="I122" i="1" s="1"/>
  <c r="M121" i="1"/>
  <c r="M122" i="1" s="1"/>
  <c r="E121" i="1"/>
  <c r="E122" i="1" s="1"/>
  <c r="H121" i="1"/>
  <c r="H122" i="1" s="1"/>
  <c r="D121" i="1"/>
  <c r="D122" i="1" s="1"/>
  <c r="O121" i="1"/>
  <c r="O122" i="1" s="1"/>
  <c r="O123" i="1" s="1"/>
  <c r="K121" i="1"/>
  <c r="K122" i="1" s="1"/>
  <c r="G121" i="1"/>
  <c r="G122" i="1" s="1"/>
  <c r="S133" i="1"/>
  <c r="O115" i="1" s="1"/>
  <c r="Q133" i="1"/>
  <c r="O133" i="1"/>
  <c r="O134" i="1" s="1"/>
  <c r="O135" i="1" s="1"/>
  <c r="M133" i="1"/>
  <c r="K133" i="1"/>
  <c r="K134" i="1" s="1"/>
  <c r="K135" i="1" s="1"/>
  <c r="I133" i="1"/>
  <c r="G133" i="1"/>
  <c r="E133" i="1"/>
  <c r="E134" i="1" s="1"/>
  <c r="E135" i="1" s="1"/>
  <c r="R133" i="1"/>
  <c r="P133" i="1"/>
  <c r="P134" i="1" s="1"/>
  <c r="P135" i="1" s="1"/>
  <c r="N133" i="1"/>
  <c r="L133" i="1"/>
  <c r="L134" i="1" s="1"/>
  <c r="L135" i="1" s="1"/>
  <c r="J133" i="1"/>
  <c r="H133" i="1"/>
  <c r="H134" i="1" s="1"/>
  <c r="H135" i="1" s="1"/>
  <c r="F133" i="1"/>
  <c r="F134" i="1" s="1"/>
  <c r="F135" i="1" s="1"/>
  <c r="D133" i="1"/>
  <c r="D134" i="1" s="1"/>
  <c r="D135" i="1" s="1"/>
  <c r="J134" i="1"/>
  <c r="J135" i="1" s="1"/>
  <c r="G114" i="1"/>
  <c r="P118" i="1" s="1"/>
  <c r="G134" i="1"/>
  <c r="G135" i="1" s="1"/>
  <c r="I134" i="1"/>
  <c r="I135" i="1" s="1"/>
  <c r="S130" i="1"/>
  <c r="U130" i="1" s="1"/>
  <c r="F32" i="1" s="1"/>
  <c r="M134" i="1"/>
  <c r="M135" i="1" s="1"/>
  <c r="R134" i="1"/>
  <c r="R135" i="1" s="1"/>
  <c r="Q134" i="1"/>
  <c r="Q135" i="1" s="1"/>
  <c r="N134" i="1"/>
  <c r="N135" i="1" s="1"/>
  <c r="U118" i="1" l="1"/>
  <c r="D32" i="1" s="1"/>
  <c r="M123" i="1"/>
  <c r="N123" i="1"/>
  <c r="K123" i="1"/>
  <c r="L123" i="1"/>
  <c r="P123" i="1"/>
  <c r="H123" i="1"/>
  <c r="G123" i="1"/>
  <c r="E123" i="1"/>
  <c r="F123" i="1"/>
  <c r="I123" i="1"/>
  <c r="D123" i="1"/>
  <c r="J123" i="1"/>
  <c r="R123" i="1"/>
  <c r="P119" i="1"/>
  <c r="D118" i="1"/>
  <c r="D119" i="1" s="1"/>
  <c r="D6" i="1" s="1"/>
  <c r="H127" i="1"/>
  <c r="L127" i="1"/>
  <c r="L128" i="1" s="1"/>
  <c r="L129" i="1" s="1"/>
  <c r="P127" i="1"/>
  <c r="P128" i="1" s="1"/>
  <c r="P129" i="1" s="1"/>
  <c r="D127" i="1"/>
  <c r="I127" i="1"/>
  <c r="M127" i="1"/>
  <c r="M128" i="1" s="1"/>
  <c r="M129" i="1" s="1"/>
  <c r="Q127" i="1"/>
  <c r="Q128" i="1" s="1"/>
  <c r="Q129" i="1" s="1"/>
  <c r="E127" i="1"/>
  <c r="J127" i="1"/>
  <c r="N127" i="1"/>
  <c r="N128" i="1" s="1"/>
  <c r="N129" i="1" s="1"/>
  <c r="R127" i="1"/>
  <c r="F127" i="1"/>
  <c r="K127" i="1"/>
  <c r="O127" i="1"/>
  <c r="O128" i="1" s="1"/>
  <c r="O129" i="1" s="1"/>
  <c r="G127" i="1"/>
  <c r="O130" i="1"/>
  <c r="O131" i="1" s="1"/>
  <c r="F130" i="1"/>
  <c r="F131" i="1" s="1"/>
  <c r="L124" i="1"/>
  <c r="L125" i="1" s="1"/>
  <c r="K118" i="1"/>
  <c r="K119" i="1" s="1"/>
  <c r="K120" i="1" s="1"/>
  <c r="S127" i="1"/>
  <c r="N124" i="1"/>
  <c r="N125" i="1" s="1"/>
  <c r="N126" i="1" s="1"/>
  <c r="J130" i="1"/>
  <c r="J131" i="1" s="1"/>
  <c r="J6" i="1" s="1"/>
  <c r="J7" i="1" s="1"/>
  <c r="H118" i="1"/>
  <c r="H119" i="1" s="1"/>
  <c r="H6" i="1" s="1"/>
  <c r="H7" i="1" s="1"/>
  <c r="Q124" i="1"/>
  <c r="G124" i="1"/>
  <c r="M130" i="1"/>
  <c r="M131" i="1" s="1"/>
  <c r="M132" i="1" s="1"/>
  <c r="I124" i="1"/>
  <c r="E130" i="1"/>
  <c r="E131" i="1" s="1"/>
  <c r="E132" i="1" s="1"/>
  <c r="M11" i="1" l="1"/>
  <c r="M12" i="1" s="1"/>
  <c r="N11" i="1"/>
  <c r="N12" i="1" s="1"/>
  <c r="U124" i="1"/>
  <c r="E32" i="1" s="1"/>
  <c r="N115" i="1"/>
  <c r="L11" i="1"/>
  <c r="L12" i="1" s="1"/>
  <c r="P11" i="1"/>
  <c r="P12" i="1" s="1"/>
  <c r="P120" i="1"/>
  <c r="P6" i="1"/>
  <c r="P7" i="1" s="1"/>
  <c r="L126" i="1"/>
  <c r="L6" i="1"/>
  <c r="L7" i="1" s="1"/>
  <c r="D7" i="1"/>
  <c r="D120" i="1"/>
  <c r="J132" i="1"/>
  <c r="F128" i="1"/>
  <c r="E128" i="1"/>
  <c r="D128" i="1"/>
  <c r="G128" i="1"/>
  <c r="R128" i="1"/>
  <c r="J128" i="1"/>
  <c r="I128" i="1"/>
  <c r="H128" i="1"/>
  <c r="F132" i="1"/>
  <c r="F6" i="1"/>
  <c r="F7" i="1" s="1"/>
  <c r="O132" i="1"/>
  <c r="O6" i="1"/>
  <c r="O7" i="1" s="1"/>
  <c r="E6" i="1"/>
  <c r="E7" i="1" s="1"/>
  <c r="H120" i="1"/>
  <c r="Q125" i="1" l="1"/>
  <c r="G125" i="1"/>
  <c r="K128" i="1"/>
  <c r="I125" i="1"/>
  <c r="I129" i="1"/>
  <c r="I11" i="1"/>
  <c r="I12" i="1" s="1"/>
  <c r="R129" i="1"/>
  <c r="R11" i="1"/>
  <c r="R12" i="1" s="1"/>
  <c r="D129" i="1"/>
  <c r="D11" i="1"/>
  <c r="F129" i="1"/>
  <c r="F11" i="1"/>
  <c r="F12" i="1" s="1"/>
  <c r="H129" i="1"/>
  <c r="H11" i="1"/>
  <c r="H12" i="1" s="1"/>
  <c r="J129" i="1"/>
  <c r="J11" i="1"/>
  <c r="J12" i="1" s="1"/>
  <c r="G129" i="1"/>
  <c r="G11" i="1"/>
  <c r="G12" i="1" s="1"/>
  <c r="E129" i="1"/>
  <c r="E11" i="1"/>
  <c r="E12" i="1" s="1"/>
  <c r="Q126" i="1" l="1"/>
  <c r="Q6" i="1"/>
  <c r="Q7" i="1" s="1"/>
  <c r="G6" i="1"/>
  <c r="G126" i="1"/>
  <c r="K129" i="1"/>
  <c r="K11" i="1"/>
  <c r="K12" i="1" s="1"/>
  <c r="I6" i="1"/>
  <c r="I126" i="1"/>
  <c r="D12" i="1"/>
  <c r="I15" i="1" l="1"/>
  <c r="G7" i="1"/>
  <c r="H15" i="1"/>
  <c r="AC32" i="1"/>
  <c r="AB32" i="1"/>
  <c r="I7" i="1"/>
  <c r="S7" i="1" s="1"/>
  <c r="AC25" i="1"/>
  <c r="R6" i="1"/>
  <c r="R7" i="1" s="1"/>
  <c r="AH25" i="1"/>
  <c r="AA25" i="1"/>
  <c r="AB25" i="1"/>
  <c r="AA32" i="1"/>
  <c r="S11" i="1"/>
  <c r="S12" i="1"/>
  <c r="C14" i="1" s="1"/>
  <c r="AI25" i="1"/>
  <c r="AA27" i="1" l="1"/>
  <c r="Z36" i="1" s="1"/>
  <c r="AA36" i="1" s="1"/>
  <c r="AB36" i="1" s="1"/>
  <c r="AC36" i="1" s="1"/>
  <c r="AD36" i="1" s="1"/>
  <c r="AB27" i="1"/>
  <c r="Z37" i="1" s="1"/>
  <c r="AA37" i="1" s="1"/>
  <c r="AB37" i="1" s="1"/>
  <c r="AC37" i="1" s="1"/>
  <c r="AC27" i="1"/>
  <c r="Z38" i="1" s="1"/>
  <c r="AA38" i="1" s="1"/>
  <c r="AB38" i="1" s="1"/>
  <c r="AC38" i="1" s="1"/>
  <c r="AD38" i="1" s="1"/>
  <c r="AD37" i="1" l="1"/>
  <c r="F7" i="4" l="1"/>
  <c r="E7" i="4"/>
</calcChain>
</file>

<file path=xl/sharedStrings.xml><?xml version="1.0" encoding="utf-8"?>
<sst xmlns="http://schemas.openxmlformats.org/spreadsheetml/2006/main" count="799" uniqueCount="191">
  <si>
    <t>Type d'attaque</t>
  </si>
  <si>
    <t>Défenses</t>
  </si>
  <si>
    <t>Armes contondantes</t>
  </si>
  <si>
    <t>Armes de jet</t>
  </si>
  <si>
    <t>Armes blanches</t>
  </si>
  <si>
    <t>Puissance</t>
  </si>
  <si>
    <t>Minautaure</t>
  </si>
  <si>
    <t>Manticore</t>
  </si>
  <si>
    <t>Epée</t>
  </si>
  <si>
    <t>Frondeur</t>
  </si>
  <si>
    <t>Archer</t>
  </si>
  <si>
    <t>Hoplite</t>
  </si>
  <si>
    <t>Cavalier</t>
  </si>
  <si>
    <t>Char</t>
  </si>
  <si>
    <t>Catapulte</t>
  </si>
  <si>
    <t>Centaure</t>
  </si>
  <si>
    <t>Pégase</t>
  </si>
  <si>
    <t>Cyclope</t>
  </si>
  <si>
    <t>Haprie</t>
  </si>
  <si>
    <t>Méduse</t>
  </si>
  <si>
    <t>Attaquant</t>
  </si>
  <si>
    <t>Defenseur</t>
  </si>
  <si>
    <t>Force par Type d'arme</t>
  </si>
  <si>
    <t>Armes contondante</t>
  </si>
  <si>
    <t>Armes blanche</t>
  </si>
  <si>
    <t>Defense par Type d'arme</t>
  </si>
  <si>
    <t>Rapport attaque-defense</t>
  </si>
  <si>
    <t>Armes blannche</t>
  </si>
  <si>
    <t>Rempart</t>
  </si>
  <si>
    <t>Bonus rempart</t>
  </si>
  <si>
    <t>Birème</t>
  </si>
  <si>
    <t>Bateau-feu</t>
  </si>
  <si>
    <t>Trième</t>
  </si>
  <si>
    <t>Attaque</t>
  </si>
  <si>
    <t>Defense</t>
  </si>
  <si>
    <t>Défense</t>
  </si>
  <si>
    <t>Hydre</t>
  </si>
  <si>
    <t>Force</t>
  </si>
  <si>
    <t>Rapport</t>
  </si>
  <si>
    <t>Simulation</t>
  </si>
  <si>
    <t>Puissance d'attaque Simple</t>
  </si>
  <si>
    <t>Part des armes blanche</t>
  </si>
  <si>
    <t>Part des armes de jet</t>
  </si>
  <si>
    <t>Part des armes contondante</t>
  </si>
  <si>
    <t>Survivants</t>
  </si>
  <si>
    <t>Tour 1</t>
  </si>
  <si>
    <t>Tour 2</t>
  </si>
  <si>
    <t>Total</t>
  </si>
  <si>
    <t>Pertes</t>
  </si>
  <si>
    <t>combat</t>
  </si>
  <si>
    <t>Armesde jet</t>
  </si>
  <si>
    <t>Rapport Att/Def</t>
  </si>
  <si>
    <t>Combattants restant</t>
  </si>
  <si>
    <t>Technologies</t>
  </si>
  <si>
    <t>Nuit</t>
  </si>
  <si>
    <t>Commandant</t>
  </si>
  <si>
    <t>Capitaine</t>
  </si>
  <si>
    <t>Phalange</t>
  </si>
  <si>
    <t>Pretresse</t>
  </si>
  <si>
    <t>Tour</t>
  </si>
  <si>
    <t>Force hero</t>
  </si>
  <si>
    <t>Nostalgie</t>
  </si>
  <si>
    <t>Mettre 1 pour activer les bonus</t>
  </si>
  <si>
    <t>Bélier</t>
  </si>
  <si>
    <t>Vent</t>
  </si>
  <si>
    <t>Mettre 1 pour activer la technologie</t>
  </si>
  <si>
    <t>Capacité</t>
  </si>
  <si>
    <t>Capacité debut</t>
  </si>
  <si>
    <t>Pillage</t>
  </si>
  <si>
    <t>Conseils :</t>
  </si>
  <si>
    <t>priorité :</t>
  </si>
  <si>
    <t>secondaire :</t>
  </si>
  <si>
    <t>Après division</t>
  </si>
  <si>
    <t>1er tour</t>
  </si>
  <si>
    <t>2nd tour</t>
  </si>
  <si>
    <t>Bois</t>
  </si>
  <si>
    <t>Pierre</t>
  </si>
  <si>
    <t>Argent</t>
  </si>
  <si>
    <t>Armée</t>
  </si>
  <si>
    <t>Coût</t>
  </si>
  <si>
    <t>Reconstruction</t>
  </si>
  <si>
    <t>Défenseur</t>
  </si>
  <si>
    <t>Conscription</t>
  </si>
  <si>
    <t>Caracteristiques</t>
  </si>
  <si>
    <t>Armées et unités</t>
  </si>
  <si>
    <t>Forces et répartitions</t>
  </si>
  <si>
    <t>Coût en ressources à droite</t>
  </si>
  <si>
    <t>Contondante</t>
  </si>
  <si>
    <t>De jet</t>
  </si>
  <si>
    <t>Epées/Archers</t>
  </si>
  <si>
    <t>Minautaue</t>
  </si>
  <si>
    <t>Harpie</t>
  </si>
  <si>
    <t>Archers</t>
  </si>
  <si>
    <t>Epées</t>
  </si>
  <si>
    <t>Archer/Hoplite</t>
  </si>
  <si>
    <t>Absolu</t>
  </si>
  <si>
    <t>Par ressource</t>
  </si>
  <si>
    <t>Manticaure</t>
  </si>
  <si>
    <t>Par type d'arme</t>
  </si>
  <si>
    <t>Blanche</t>
  </si>
  <si>
    <t>Cylope</t>
  </si>
  <si>
    <t>Classement Défense/coût</t>
  </si>
  <si>
    <t>Harpie/Manticaure</t>
  </si>
  <si>
    <t>Absolue</t>
  </si>
  <si>
    <t>Rapport Coût/Defense par Type D'arme pout 1 point de défense</t>
  </si>
  <si>
    <t>Rapport Coût/Attaque pour 1 point d'attaque</t>
  </si>
  <si>
    <t>Rapport absolu Coût/Défense</t>
  </si>
  <si>
    <t>Classement   Coût/Attaque</t>
  </si>
  <si>
    <t>Rapports et classements</t>
  </si>
  <si>
    <t>Rapports coûts et classements en bas</t>
  </si>
  <si>
    <t>Brûlots</t>
  </si>
  <si>
    <t>Transport</t>
  </si>
  <si>
    <t>Transport rapide</t>
  </si>
  <si>
    <t>Milice</t>
  </si>
  <si>
    <t>Suvivants</t>
  </si>
  <si>
    <t>le navire de colo n'intervient pas dans les combat, si le port n'est pas pris il rentrera, les brulots n'attaquent pas les transports et les colo</t>
  </si>
  <si>
    <t>Rapide</t>
  </si>
  <si>
    <t>Mathématiques</t>
  </si>
  <si>
    <t>Rapport Coût/Puissance pour 1 point d'attaque</t>
  </si>
  <si>
    <t>Rapport Coût/Défense pour 1 point d'attaque</t>
  </si>
  <si>
    <t>Classement</t>
  </si>
  <si>
    <t>Pércée</t>
  </si>
  <si>
    <t>Tour 3</t>
  </si>
  <si>
    <t>3ieme tour</t>
  </si>
  <si>
    <t>2ieme tour</t>
  </si>
  <si>
    <t>10 milice pour 1 niveau de ferme, 15 si Garde</t>
  </si>
  <si>
    <t>Niveau</t>
  </si>
  <si>
    <t>Coût en ressources et en temps de la production des l'armées</t>
  </si>
  <si>
    <t>Population</t>
  </si>
  <si>
    <t>Ressource</t>
  </si>
  <si>
    <t>Ressources</t>
  </si>
  <si>
    <t>Archer/Cavalier</t>
  </si>
  <si>
    <t>Epée/Frondeur</t>
  </si>
  <si>
    <t>Catapulte/Archer</t>
  </si>
  <si>
    <t>Hoplite/Char</t>
  </si>
  <si>
    <t>Cout en population</t>
  </si>
  <si>
    <t>Division</t>
  </si>
  <si>
    <t>Divison</t>
  </si>
  <si>
    <t>Sénat</t>
  </si>
  <si>
    <t>Points</t>
  </si>
  <si>
    <t>Grotte</t>
  </si>
  <si>
    <t>Ferme</t>
  </si>
  <si>
    <t>Population max</t>
  </si>
  <si>
    <t>Entrepôt</t>
  </si>
  <si>
    <t>Production</t>
  </si>
  <si>
    <t>Ac malus</t>
  </si>
  <si>
    <t>Normal</t>
  </si>
  <si>
    <t>Ac bonus</t>
  </si>
  <si>
    <t>Scierire</t>
  </si>
  <si>
    <t>Carrière</t>
  </si>
  <si>
    <t>Mine</t>
  </si>
  <si>
    <t>Heures</t>
  </si>
  <si>
    <t>Minutes</t>
  </si>
  <si>
    <t>Seconde</t>
  </si>
  <si>
    <t>Trajet</t>
  </si>
  <si>
    <t>Depart</t>
  </si>
  <si>
    <t>Arrivée</t>
  </si>
  <si>
    <t>Décalage entre les vagues</t>
  </si>
  <si>
    <t>Jour</t>
  </si>
  <si>
    <t>Population utilisée</t>
  </si>
  <si>
    <t>Points Gagnés</t>
  </si>
  <si>
    <t>Scierie/Carriere/Mine</t>
  </si>
  <si>
    <t>Marché</t>
  </si>
  <si>
    <t>Port</t>
  </si>
  <si>
    <t>Caserne</t>
  </si>
  <si>
    <t>Remparts</t>
  </si>
  <si>
    <t>Académie</t>
  </si>
  <si>
    <t>Temple</t>
  </si>
  <si>
    <t>Tour/Phare/…</t>
  </si>
  <si>
    <t>Bonus</t>
  </si>
  <si>
    <t>Ac Malus</t>
  </si>
  <si>
    <t>Libre</t>
  </si>
  <si>
    <t>Temps</t>
  </si>
  <si>
    <t>Avec marchand</t>
  </si>
  <si>
    <t>Marchand</t>
  </si>
  <si>
    <t>Tps de prod</t>
  </si>
  <si>
    <t>Reconstruc</t>
  </si>
  <si>
    <t>Jours</t>
  </si>
  <si>
    <t>Secondes</t>
  </si>
  <si>
    <t>Traduction temps de reconstruction</t>
  </si>
  <si>
    <t>Vague</t>
  </si>
  <si>
    <t>Type  /   Commentaires</t>
  </si>
  <si>
    <t>XXXXXX</t>
  </si>
  <si>
    <t>YYYYY</t>
  </si>
  <si>
    <t>Rentrer  les vagues dans l'ordre voulu d'arriver, choisissez un decalage et rentrer les temps de trajet, les temps seront calculer en fonction de la premiere heure d'arrivé rentrée</t>
  </si>
  <si>
    <t>Production Scierie</t>
  </si>
  <si>
    <t>Production Carriere</t>
  </si>
  <si>
    <t>Production Mine</t>
  </si>
  <si>
    <t>Y a encore un soucis avec les trajets de plus de 24h, prenez en compte, je ferai la modife dès que possible</t>
  </si>
  <si>
    <t>Contondant</t>
  </si>
  <si>
    <t>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</si>
</sst>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4"/>
      <color theme="1"/>
      <name val="Comic Sans MS"/>
      <family val="4"/>
    </font>
    <font>
      <sz val="11"/>
      <color rgb="FFFF0000"/>
      <name val="Comic Sans MS"/>
      <family val="4"/>
    </font>
    <font>
      <sz val="11"/>
      <name val="Comic Sans MS"/>
      <family val="4"/>
    </font>
    <font>
      <sz val="11"/>
      <color rgb="FF00B050"/>
      <name val="Comic Sans MS"/>
      <family val="4"/>
    </font>
    <font>
      <b/>
      <sz val="11"/>
      <color rgb="FF00B050"/>
      <name val="Comic Sans MS"/>
      <family val="4"/>
    </font>
    <font>
      <u/>
      <sz val="11"/>
      <color theme="1"/>
      <name val="Comic Sans MS"/>
      <family val="4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omic Sans MS"/>
      <family val="4"/>
    </font>
    <font>
      <sz val="11"/>
      <color theme="0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63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 applyProtection="1">
      <alignment vertical="center" wrapText="1"/>
      <protection hidden="1"/>
    </xf>
    <xf numFmtId="0" fontId="1" fillId="4" borderId="6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1" fillId="4" borderId="39" xfId="0" applyFont="1" applyFill="1" applyBorder="1" applyAlignment="1" applyProtection="1">
      <alignment horizontal="center" vertical="center" wrapText="1"/>
      <protection hidden="1"/>
    </xf>
    <xf numFmtId="0" fontId="1" fillId="4" borderId="14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15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6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59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" fillId="4" borderId="66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22" xfId="0" applyFont="1" applyFill="1" applyBorder="1" applyAlignment="1" applyProtection="1">
      <alignment horizontal="center" vertical="center" wrapText="1"/>
      <protection hidden="1"/>
    </xf>
    <xf numFmtId="0" fontId="1" fillId="4" borderId="59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62" xfId="0" applyFont="1" applyFill="1" applyBorder="1" applyAlignment="1">
      <alignment vertical="center" wrapText="1"/>
    </xf>
    <xf numFmtId="0" fontId="6" fillId="4" borderId="6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67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" fontId="1" fillId="5" borderId="0" xfId="0" applyNumberFormat="1" applyFont="1" applyFill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4" borderId="77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1" fillId="4" borderId="27" xfId="0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58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5" borderId="13" xfId="0" applyFill="1" applyBorder="1" applyAlignment="1" applyProtection="1">
      <alignment horizontal="center" vertical="center" wrapText="1"/>
    </xf>
    <xf numFmtId="0" fontId="0" fillId="5" borderId="45" xfId="0" applyFill="1" applyBorder="1" applyAlignment="1" applyProtection="1">
      <alignment horizontal="center" vertical="center" wrapText="1"/>
    </xf>
    <xf numFmtId="0" fontId="0" fillId="5" borderId="19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29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38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37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>
      <alignment horizontal="center" vertical="center" wrapText="1"/>
    </xf>
    <xf numFmtId="0" fontId="3" fillId="4" borderId="77" xfId="0" applyFont="1" applyFill="1" applyBorder="1" applyAlignment="1" applyProtection="1">
      <alignment horizontal="center" vertical="center" wrapText="1"/>
    </xf>
    <xf numFmtId="0" fontId="5" fillId="4" borderId="27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 applyProtection="1">
      <alignment horizontal="center" vertical="center" wrapText="1"/>
    </xf>
    <xf numFmtId="0" fontId="1" fillId="4" borderId="79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vertical="center" wrapText="1"/>
    </xf>
    <xf numFmtId="0" fontId="1" fillId="3" borderId="53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76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hidden="1"/>
    </xf>
    <xf numFmtId="0" fontId="1" fillId="4" borderId="75" xfId="0" applyFont="1" applyFill="1" applyBorder="1" applyAlignment="1" applyProtection="1">
      <alignment horizontal="center" vertical="center" wrapText="1"/>
      <protection hidden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8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4" borderId="53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0" borderId="74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8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8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0" fillId="4" borderId="7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1" xfId="0" applyFill="1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8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4" fillId="4" borderId="54" xfId="0" applyFont="1" applyFill="1" applyBorder="1" applyAlignment="1" applyProtection="1">
      <alignment horizontal="center" vertical="center" wrapText="1"/>
    </xf>
    <xf numFmtId="0" fontId="4" fillId="0" borderId="78" xfId="0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5" borderId="87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5" borderId="87" xfId="0" applyFont="1" applyFill="1" applyBorder="1" applyAlignment="1" applyProtection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79" xfId="0" applyFill="1" applyBorder="1" applyAlignment="1" applyProtection="1">
      <alignment horizontal="center" vertical="center" wrapText="1"/>
    </xf>
    <xf numFmtId="0" fontId="0" fillId="5" borderId="81" xfId="0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60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 vertical="center" wrapText="1"/>
    </xf>
    <xf numFmtId="0" fontId="0" fillId="5" borderId="15" xfId="0" applyFill="1" applyBorder="1" applyAlignment="1" applyProtection="1">
      <alignment horizontal="center" vertical="center" wrapText="1"/>
    </xf>
    <xf numFmtId="0" fontId="0" fillId="5" borderId="80" xfId="0" applyFill="1" applyBorder="1" applyAlignment="1" applyProtection="1">
      <alignment horizontal="center" vertical="center" wrapText="1"/>
    </xf>
    <xf numFmtId="0" fontId="0" fillId="4" borderId="80" xfId="0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88" xfId="0" applyFill="1" applyBorder="1" applyAlignment="1" applyProtection="1">
      <alignment horizontal="center" vertical="center" wrapText="1"/>
    </xf>
    <xf numFmtId="0" fontId="0" fillId="4" borderId="25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22" xfId="0" applyFill="1" applyBorder="1" applyAlignment="1" applyProtection="1">
      <alignment horizontal="center" vertical="center" wrapText="1"/>
    </xf>
    <xf numFmtId="0" fontId="0" fillId="5" borderId="42" xfId="0" applyFill="1" applyBorder="1" applyAlignment="1" applyProtection="1">
      <alignment horizontal="center" vertical="center" wrapText="1"/>
    </xf>
    <xf numFmtId="0" fontId="0" fillId="5" borderId="40" xfId="0" applyFill="1" applyBorder="1" applyAlignment="1" applyProtection="1">
      <alignment horizontal="center" vertical="center" wrapText="1"/>
    </xf>
    <xf numFmtId="0" fontId="0" fillId="4" borderId="40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center" vertical="center" wrapText="1"/>
    </xf>
    <xf numFmtId="0" fontId="0" fillId="5" borderId="0" xfId="0" applyFill="1" applyAlignment="1">
      <alignment vertical="center"/>
    </xf>
    <xf numFmtId="0" fontId="0" fillId="4" borderId="1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43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>
      <alignment horizontal="center" vertical="center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20" fontId="0" fillId="5" borderId="21" xfId="0" applyNumberFormat="1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2" xfId="0" applyFill="1" applyBorder="1" applyAlignment="1">
      <alignment vertical="center"/>
    </xf>
    <xf numFmtId="0" fontId="0" fillId="4" borderId="63" xfId="0" applyFill="1" applyBorder="1" applyAlignment="1">
      <alignment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4" borderId="82" xfId="0" applyFill="1" applyBorder="1" applyAlignment="1" applyProtection="1">
      <alignment horizontal="center" vertical="center"/>
      <protection locked="0"/>
    </xf>
    <xf numFmtId="0" fontId="0" fillId="5" borderId="82" xfId="0" applyFill="1" applyBorder="1" applyAlignment="1" applyProtection="1">
      <alignment horizontal="center" vertical="center"/>
      <protection locked="0"/>
    </xf>
    <xf numFmtId="0" fontId="0" fillId="4" borderId="78" xfId="0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59" xfId="0" applyFont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 applyProtection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 applyProtection="1">
      <alignment horizontal="center" vertical="center" wrapText="1"/>
      <protection locked="0"/>
    </xf>
    <xf numFmtId="0" fontId="1" fillId="10" borderId="26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 applyProtection="1">
      <alignment horizontal="center" vertical="center" wrapText="1"/>
      <protection hidden="1"/>
    </xf>
    <xf numFmtId="0" fontId="14" fillId="11" borderId="6" xfId="0" applyFont="1" applyFill="1" applyBorder="1" applyAlignment="1" applyProtection="1">
      <alignment horizontal="center" vertical="center" wrapText="1"/>
      <protection locked="0"/>
    </xf>
    <xf numFmtId="0" fontId="14" fillId="11" borderId="7" xfId="0" applyFont="1" applyFill="1" applyBorder="1" applyAlignment="1" applyProtection="1">
      <alignment horizontal="center" vertical="center" wrapText="1"/>
      <protection locked="0"/>
    </xf>
    <xf numFmtId="0" fontId="4" fillId="10" borderId="25" xfId="0" applyFont="1" applyFill="1" applyBorder="1" applyAlignment="1" applyProtection="1">
      <alignment horizontal="center" vertical="center" wrapText="1"/>
    </xf>
    <xf numFmtId="0" fontId="1" fillId="10" borderId="89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14" fillId="11" borderId="89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82" xfId="0" applyFont="1" applyFill="1" applyBorder="1" applyAlignment="1">
      <alignment horizontal="center" vertical="center" wrapText="1"/>
    </xf>
    <xf numFmtId="0" fontId="1" fillId="4" borderId="7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 applyProtection="1">
      <alignment horizontal="center" vertical="center" wrapText="1"/>
    </xf>
    <xf numFmtId="0" fontId="1" fillId="5" borderId="21" xfId="0" applyFont="1" applyFill="1" applyBorder="1" applyAlignment="1" applyProtection="1">
      <alignment horizontal="center" vertical="center" wrapText="1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 applyProtection="1">
      <alignment horizontal="center" vertical="center" wrapText="1"/>
      <protection hidden="1"/>
    </xf>
    <xf numFmtId="0" fontId="1" fillId="5" borderId="72" xfId="0" applyFont="1" applyFill="1" applyBorder="1" applyAlignment="1" applyProtection="1">
      <alignment horizontal="center" vertical="center" wrapText="1"/>
      <protection hidden="1"/>
    </xf>
    <xf numFmtId="0" fontId="1" fillId="5" borderId="73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5" borderId="65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75" xfId="0" applyFont="1" applyFill="1" applyBorder="1" applyAlignment="1">
      <alignment horizontal="center" vertical="center" wrapText="1"/>
    </xf>
    <xf numFmtId="0" fontId="1" fillId="4" borderId="84" xfId="0" applyFont="1" applyFill="1" applyBorder="1" applyAlignment="1">
      <alignment horizontal="center" vertical="center" wrapText="1"/>
    </xf>
    <xf numFmtId="0" fontId="1" fillId="4" borderId="8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0" fillId="4" borderId="44" xfId="0" applyFill="1" applyBorder="1" applyAlignment="1" applyProtection="1">
      <alignment horizontal="center" vertical="center" wrapText="1"/>
    </xf>
    <xf numFmtId="0" fontId="0" fillId="4" borderId="82" xfId="0" applyFill="1" applyBorder="1" applyAlignment="1" applyProtection="1">
      <alignment horizontal="center" vertical="center" wrapText="1"/>
    </xf>
    <xf numFmtId="0" fontId="0" fillId="4" borderId="78" xfId="0" applyFill="1" applyBorder="1" applyAlignment="1" applyProtection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5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 wrapText="1"/>
    </xf>
    <xf numFmtId="0" fontId="0" fillId="5" borderId="44" xfId="0" applyFill="1" applyBorder="1" applyAlignment="1" applyProtection="1">
      <alignment horizontal="center" vertical="center" wrapText="1"/>
    </xf>
    <xf numFmtId="0" fontId="0" fillId="5" borderId="82" xfId="0" applyFill="1" applyBorder="1" applyAlignment="1" applyProtection="1">
      <alignment horizontal="center" vertical="center" wrapText="1"/>
    </xf>
    <xf numFmtId="0" fontId="0" fillId="5" borderId="57" xfId="0" applyFill="1" applyBorder="1" applyAlignment="1" applyProtection="1">
      <alignment horizontal="center" vertical="center" wrapText="1"/>
    </xf>
    <xf numFmtId="0" fontId="0" fillId="5" borderId="54" xfId="0" applyFill="1" applyBorder="1" applyAlignment="1" applyProtection="1">
      <alignment horizontal="center" vertical="center" wrapText="1"/>
    </xf>
    <xf numFmtId="0" fontId="0" fillId="5" borderId="78" xfId="0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34" xfId="0" applyFill="1" applyBorder="1" applyAlignment="1" applyProtection="1">
      <alignment horizontal="center" vertical="center" wrapText="1"/>
    </xf>
    <xf numFmtId="0" fontId="0" fillId="3" borderId="50" xfId="0" applyFill="1" applyBorder="1" applyAlignment="1" applyProtection="1">
      <alignment horizontal="center" vertical="center" wrapText="1"/>
    </xf>
    <xf numFmtId="0" fontId="0" fillId="5" borderId="52" xfId="0" applyFill="1" applyBorder="1" applyAlignment="1" applyProtection="1">
      <alignment horizontal="center" vertical="center" wrapText="1"/>
    </xf>
    <xf numFmtId="0" fontId="0" fillId="5" borderId="53" xfId="0" applyFill="1" applyBorder="1" applyAlignment="1" applyProtection="1">
      <alignment horizontal="center" vertical="center" wrapText="1"/>
    </xf>
    <xf numFmtId="0" fontId="0" fillId="5" borderId="28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5" borderId="58" xfId="0" applyFill="1" applyBorder="1" applyAlignment="1" applyProtection="1">
      <alignment horizontal="center" vertical="center" wrapText="1"/>
    </xf>
    <xf numFmtId="0" fontId="0" fillId="5" borderId="55" xfId="0" applyFill="1" applyBorder="1" applyAlignment="1" applyProtection="1">
      <alignment horizontal="center" vertical="center" wrapText="1"/>
    </xf>
    <xf numFmtId="0" fontId="0" fillId="5" borderId="56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43" xfId="0" applyFill="1" applyBorder="1" applyAlignment="1" applyProtection="1">
      <alignment horizontal="center" vertical="center" wrapText="1"/>
    </xf>
    <xf numFmtId="0" fontId="0" fillId="3" borderId="45" xfId="0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 vertical="center" wrapText="1"/>
    </xf>
    <xf numFmtId="0" fontId="0" fillId="3" borderId="35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46" xfId="0" applyFill="1" applyBorder="1" applyAlignment="1" applyProtection="1">
      <alignment horizontal="center" vertical="center" wrapText="1"/>
    </xf>
    <xf numFmtId="0" fontId="0" fillId="3" borderId="55" xfId="0" applyFill="1" applyBorder="1" applyAlignment="1" applyProtection="1">
      <alignment horizontal="center" vertical="center" wrapText="1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 wrapText="1"/>
    </xf>
    <xf numFmtId="0" fontId="0" fillId="2" borderId="78" xfId="0" applyFill="1" applyBorder="1" applyAlignment="1" applyProtection="1">
      <alignment horizontal="center" vertical="center" wrapText="1"/>
    </xf>
    <xf numFmtId="0" fontId="0" fillId="2" borderId="43" xfId="0" applyFill="1" applyBorder="1" applyAlignment="1" applyProtection="1">
      <alignment horizontal="center" vertical="center" wrapText="1"/>
    </xf>
    <xf numFmtId="0" fontId="0" fillId="2" borderId="45" xfId="0" applyFill="1" applyBorder="1" applyAlignment="1" applyProtection="1">
      <alignment horizontal="center" vertical="center" wrapText="1"/>
    </xf>
    <xf numFmtId="0" fontId="0" fillId="2" borderId="46" xfId="0" applyFill="1" applyBorder="1" applyAlignment="1" applyProtection="1">
      <alignment horizontal="center" vertical="center" wrapText="1"/>
    </xf>
    <xf numFmtId="0" fontId="0" fillId="2" borderId="47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82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  <color rgb="FF00FF00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sol'!$D$23:$F$23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sol'!$D$25:$F$25</c:f>
              <c:numCache>
                <c:formatCode>General</c:formatCode>
                <c:ptCount val="3"/>
                <c:pt idx="0">
                  <c:v>10890</c:v>
                </c:pt>
                <c:pt idx="1">
                  <c:v>9760</c:v>
                </c:pt>
                <c:pt idx="2">
                  <c:v>9890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Attaquant</c:v>
          </c:tx>
          <c:invertIfNegative val="0"/>
          <c:cat>
            <c:strLit>
              <c:ptCount val="1"/>
              <c:pt idx="0">
                <c:v>Rapport</c:v>
              </c:pt>
            </c:strLit>
          </c:cat>
          <c:val>
            <c:numRef>
              <c:f>'Attaque maritime'!$O$3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Defenseur</c:v>
          </c:tx>
          <c:invertIfNegative val="0"/>
          <c:cat>
            <c:strLit>
              <c:ptCount val="1"/>
              <c:pt idx="0">
                <c:v>Rapport</c:v>
              </c:pt>
            </c:strLit>
          </c:cat>
          <c:val>
            <c:numRef>
              <c:f>'Attaque maritime'!$O$4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02304"/>
        <c:axId val="30803840"/>
        <c:axId val="0"/>
      </c:bar3DChart>
      <c:catAx>
        <c:axId val="3080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30803840"/>
        <c:crosses val="autoZero"/>
        <c:auto val="1"/>
        <c:lblAlgn val="ctr"/>
        <c:lblOffset val="100"/>
        <c:noMultiLvlLbl val="0"/>
      </c:catAx>
      <c:valAx>
        <c:axId val="3080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02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Reconstruction attaquant</c:v>
          </c:tx>
          <c:invertIfNegative val="0"/>
          <c:cat>
            <c:strRef>
              <c:f>'Attaque maritime'!$E$34:$G$34</c:f>
              <c:strCache>
                <c:ptCount val="3"/>
                <c:pt idx="0">
                  <c:v>Bois</c:v>
                </c:pt>
                <c:pt idx="1">
                  <c:v>Pierre</c:v>
                </c:pt>
                <c:pt idx="2">
                  <c:v>Argent</c:v>
                </c:pt>
              </c:strCache>
            </c:strRef>
          </c:cat>
          <c:val>
            <c:numRef>
              <c:f>'Attaque maritime'!$E$37:$G$37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Reconstruction défenseur</c:v>
          </c:tx>
          <c:invertIfNegative val="0"/>
          <c:cat>
            <c:strRef>
              <c:f>'Attaque maritime'!$E$34:$G$34</c:f>
              <c:strCache>
                <c:ptCount val="3"/>
                <c:pt idx="0">
                  <c:v>Bois</c:v>
                </c:pt>
                <c:pt idx="1">
                  <c:v>Pierre</c:v>
                </c:pt>
                <c:pt idx="2">
                  <c:v>Argent</c:v>
                </c:pt>
              </c:strCache>
            </c:strRef>
          </c:cat>
          <c:val>
            <c:numRef>
              <c:f>'Attaque maritime'!$E$40:$G$40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33280"/>
        <c:axId val="30839168"/>
        <c:axId val="0"/>
      </c:bar3DChart>
      <c:catAx>
        <c:axId val="3083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30839168"/>
        <c:crosses val="autoZero"/>
        <c:auto val="1"/>
        <c:lblAlgn val="ctr"/>
        <c:lblOffset val="100"/>
        <c:noMultiLvlLbl val="0"/>
      </c:catAx>
      <c:valAx>
        <c:axId val="3083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33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sol'!$I$23:$K$23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sol'!$I$25:$K$25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Attaquant</c:v>
          </c:tx>
          <c:invertIfNegative val="0"/>
          <c:cat>
            <c:strRef>
              <c:f>'Attaque au sol'!$D$23:$F$23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sol'!$D$25:$F$25</c:f>
              <c:numCache>
                <c:formatCode>General</c:formatCode>
                <c:ptCount val="3"/>
                <c:pt idx="0">
                  <c:v>10890</c:v>
                </c:pt>
                <c:pt idx="1">
                  <c:v>9760</c:v>
                </c:pt>
                <c:pt idx="2">
                  <c:v>9890</c:v>
                </c:pt>
              </c:numCache>
            </c:numRef>
          </c:val>
        </c:ser>
        <c:ser>
          <c:idx val="2"/>
          <c:order val="1"/>
          <c:tx>
            <c:v>Défenseurs au premier tour</c:v>
          </c:tx>
          <c:invertIfNegative val="0"/>
          <c:val>
            <c:numRef>
              <c:f>'Attaque au sol'!$I$26:$K$26</c:f>
              <c:numCache>
                <c:formatCode>General</c:formatCode>
                <c:ptCount val="3"/>
                <c:pt idx="0">
                  <c:v>3.5658153241650292</c:v>
                </c:pt>
                <c:pt idx="1">
                  <c:v>3.1958087753765554</c:v>
                </c:pt>
                <c:pt idx="2">
                  <c:v>3.2383759004584149</c:v>
                </c:pt>
              </c:numCache>
            </c:numRef>
          </c:val>
        </c:ser>
        <c:ser>
          <c:idx val="1"/>
          <c:order val="2"/>
          <c:tx>
            <c:v>Défenseurs au deuxième tour</c:v>
          </c:tx>
          <c:invertIfNegative val="0"/>
          <c:val>
            <c:numRef>
              <c:f>'Attaque au sol'!$M$83:$O$83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Défenseurs au troisième tour</c:v>
          </c:tx>
          <c:invertIfNegative val="0"/>
          <c:val>
            <c:numRef>
              <c:f>'Attaque au sol'!$M$115:$O$115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713216"/>
        <c:axId val="80714752"/>
        <c:axId val="0"/>
      </c:bar3DChart>
      <c:catAx>
        <c:axId val="8071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80714752"/>
        <c:crosses val="autoZero"/>
        <c:auto val="1"/>
        <c:lblAlgn val="ctr"/>
        <c:lblOffset val="100"/>
        <c:noMultiLvlLbl val="0"/>
      </c:catAx>
      <c:valAx>
        <c:axId val="8071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71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5587952393037"/>
          <c:y val="0.17983793407331194"/>
          <c:w val="0.19058408043968092"/>
          <c:h val="0.402566117312353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sol'!$D$80:$F$80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sol'!$D$82:$F$82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5083831734148"/>
          <c:y val="0.13889965677367255"/>
          <c:w val="0.29005426288006392"/>
          <c:h val="0.8081261835941393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sol'!$M$80:$O$80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sol'!$M$82:$O$82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1er tour</c:v>
          </c:tx>
          <c:invertIfNegative val="0"/>
          <c:cat>
            <c:strRef>
              <c:f>'Attaque au sol'!$D$27:$F$28</c:f>
              <c:strCache>
                <c:ptCount val="3"/>
                <c:pt idx="0">
                  <c:v>Armes contondante</c:v>
                </c:pt>
                <c:pt idx="1">
                  <c:v>Armes blannche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sol'!$D$30:$F$30</c:f>
              <c:numCache>
                <c:formatCode>General</c:formatCode>
                <c:ptCount val="3"/>
                <c:pt idx="0">
                  <c:v>10886.434184675834</c:v>
                </c:pt>
                <c:pt idx="1">
                  <c:v>9756.8041912246226</c:v>
                </c:pt>
                <c:pt idx="2">
                  <c:v>9886.7616240995412</c:v>
                </c:pt>
              </c:numCache>
            </c:numRef>
          </c:val>
        </c:ser>
        <c:ser>
          <c:idx val="2"/>
          <c:order val="1"/>
          <c:tx>
            <c:v>2ième tour</c:v>
          </c:tx>
          <c:invertIfNegative val="0"/>
          <c:cat>
            <c:strRef>
              <c:f>'Attaque au sol'!$D$27:$F$28</c:f>
              <c:strCache>
                <c:ptCount val="3"/>
                <c:pt idx="0">
                  <c:v>Armes contondante</c:v>
                </c:pt>
                <c:pt idx="1">
                  <c:v>Armes blannche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sol'!$D$31:$F$31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v>3ième tour</c:v>
          </c:tx>
          <c:invertIfNegative val="0"/>
          <c:val>
            <c:numRef>
              <c:f>'Attaque au sol'!$D$32:$F$32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502592"/>
        <c:axId val="85504384"/>
        <c:axId val="0"/>
      </c:bar3DChart>
      <c:catAx>
        <c:axId val="8550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85504384"/>
        <c:crosses val="autoZero"/>
        <c:auto val="1"/>
        <c:lblAlgn val="ctr"/>
        <c:lblOffset val="100"/>
        <c:noMultiLvlLbl val="0"/>
      </c:catAx>
      <c:valAx>
        <c:axId val="855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502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sol'!$D$80:$F$80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sol'!$D$114:$F$114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5083831734148"/>
          <c:y val="0.13889965677367255"/>
          <c:w val="0.29005426288006403"/>
          <c:h val="0.8467113958022104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'Attaque au sol'!$M$80:$O$80</c:f>
              <c:strCache>
                <c:ptCount val="3"/>
                <c:pt idx="0">
                  <c:v>Armes contondante</c:v>
                </c:pt>
                <c:pt idx="1">
                  <c:v>Armes blanche</c:v>
                </c:pt>
                <c:pt idx="2">
                  <c:v>Armes de jet</c:v>
                </c:pt>
              </c:strCache>
            </c:strRef>
          </c:cat>
          <c:val>
            <c:numRef>
              <c:f>'Attaque au sol'!$M$114:$O$114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Reconstruction attaquant</c:v>
          </c:tx>
          <c:invertIfNegative val="0"/>
          <c:cat>
            <c:strRef>
              <c:f>'Attaque au sol'!$AA$23:$AC$23</c:f>
              <c:strCache>
                <c:ptCount val="3"/>
                <c:pt idx="0">
                  <c:v>Bois</c:v>
                </c:pt>
                <c:pt idx="1">
                  <c:v>Pierre</c:v>
                </c:pt>
                <c:pt idx="2">
                  <c:v>Argent</c:v>
                </c:pt>
              </c:strCache>
            </c:strRef>
          </c:cat>
          <c:val>
            <c:numRef>
              <c:f>'Attaque au sol'!$AA$25:$AC$25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Reconstruction défenseur</c:v>
          </c:tx>
          <c:invertIfNegative val="0"/>
          <c:cat>
            <c:strRef>
              <c:f>'Attaque au sol'!$AA$23:$AC$23</c:f>
              <c:strCache>
                <c:ptCount val="3"/>
                <c:pt idx="0">
                  <c:v>Bois</c:v>
                </c:pt>
                <c:pt idx="1">
                  <c:v>Pierre</c:v>
                </c:pt>
                <c:pt idx="2">
                  <c:v>Argent</c:v>
                </c:pt>
              </c:strCache>
            </c:strRef>
          </c:cat>
          <c:val>
            <c:numRef>
              <c:f>'Attaque au sol'!$AA$32:$AC$32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085056"/>
        <c:axId val="87086592"/>
        <c:axId val="0"/>
      </c:bar3DChart>
      <c:catAx>
        <c:axId val="8708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87086592"/>
        <c:crosses val="autoZero"/>
        <c:auto val="1"/>
        <c:lblAlgn val="ctr"/>
        <c:lblOffset val="100"/>
        <c:noMultiLvlLbl val="0"/>
      </c:catAx>
      <c:valAx>
        <c:axId val="8708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08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32</xdr:row>
      <xdr:rowOff>139700</xdr:rowOff>
    </xdr:from>
    <xdr:to>
      <xdr:col>5</xdr:col>
      <xdr:colOff>349250</xdr:colOff>
      <xdr:row>40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4669</xdr:colOff>
      <xdr:row>30</xdr:row>
      <xdr:rowOff>0</xdr:rowOff>
    </xdr:from>
    <xdr:to>
      <xdr:col>10</xdr:col>
      <xdr:colOff>260536</xdr:colOff>
      <xdr:row>37</xdr:row>
      <xdr:rowOff>177426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3736</xdr:colOff>
      <xdr:row>29</xdr:row>
      <xdr:rowOff>193675</xdr:rowOff>
    </xdr:from>
    <xdr:to>
      <xdr:col>20</xdr:col>
      <xdr:colOff>555626</xdr:colOff>
      <xdr:row>40</xdr:row>
      <xdr:rowOff>30816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190500</xdr:colOff>
      <xdr:row>78</xdr:row>
      <xdr:rowOff>44450</xdr:rowOff>
    </xdr:from>
    <xdr:to>
      <xdr:col>10</xdr:col>
      <xdr:colOff>609600</xdr:colOff>
      <xdr:row>83</xdr:row>
      <xdr:rowOff>158750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247650</xdr:colOff>
      <xdr:row>78</xdr:row>
      <xdr:rowOff>38100</xdr:rowOff>
    </xdr:from>
    <xdr:to>
      <xdr:col>20</xdr:col>
      <xdr:colOff>533400</xdr:colOff>
      <xdr:row>83</xdr:row>
      <xdr:rowOff>152400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31750</xdr:colOff>
      <xdr:row>21</xdr:row>
      <xdr:rowOff>95250</xdr:rowOff>
    </xdr:from>
    <xdr:to>
      <xdr:col>20</xdr:col>
      <xdr:colOff>555625</xdr:colOff>
      <xdr:row>28</xdr:row>
      <xdr:rowOff>142875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238125</xdr:colOff>
      <xdr:row>15</xdr:row>
      <xdr:rowOff>222250</xdr:rowOff>
    </xdr:from>
    <xdr:to>
      <xdr:col>19</xdr:col>
      <xdr:colOff>682625</xdr:colOff>
      <xdr:row>18</xdr:row>
      <xdr:rowOff>111125</xdr:rowOff>
    </xdr:to>
    <xdr:sp macro="" textlink="">
      <xdr:nvSpPr>
        <xdr:cNvPr id="12" name="Flèche droite 11"/>
        <xdr:cNvSpPr/>
      </xdr:nvSpPr>
      <xdr:spPr>
        <a:xfrm>
          <a:off x="15017750" y="4016375"/>
          <a:ext cx="2016125" cy="603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21</xdr:col>
      <xdr:colOff>460375</xdr:colOff>
      <xdr:row>10</xdr:row>
      <xdr:rowOff>55563</xdr:rowOff>
    </xdr:from>
    <xdr:to>
      <xdr:col>22</xdr:col>
      <xdr:colOff>571500</xdr:colOff>
      <xdr:row>55</xdr:row>
      <xdr:rowOff>190500</xdr:rowOff>
    </xdr:to>
    <xdr:sp macro="" textlink="">
      <xdr:nvSpPr>
        <xdr:cNvPr id="16" name="Flèche à angle droit 15"/>
        <xdr:cNvSpPr/>
      </xdr:nvSpPr>
      <xdr:spPr>
        <a:xfrm rot="5400000">
          <a:off x="15545594" y="7147719"/>
          <a:ext cx="10326687" cy="8731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190500</xdr:colOff>
      <xdr:row>110</xdr:row>
      <xdr:rowOff>44450</xdr:rowOff>
    </xdr:from>
    <xdr:to>
      <xdr:col>10</xdr:col>
      <xdr:colOff>609600</xdr:colOff>
      <xdr:row>115</xdr:row>
      <xdr:rowOff>158750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247650</xdr:colOff>
      <xdr:row>110</xdr:row>
      <xdr:rowOff>38100</xdr:rowOff>
    </xdr:from>
    <xdr:to>
      <xdr:col>20</xdr:col>
      <xdr:colOff>533400</xdr:colOff>
      <xdr:row>115</xdr:row>
      <xdr:rowOff>152400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317500</xdr:colOff>
      <xdr:row>25</xdr:row>
      <xdr:rowOff>174626</xdr:rowOff>
    </xdr:from>
    <xdr:to>
      <xdr:col>36</xdr:col>
      <xdr:colOff>952500</xdr:colOff>
      <xdr:row>35</xdr:row>
      <xdr:rowOff>15876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3176</xdr:colOff>
      <xdr:row>11</xdr:row>
      <xdr:rowOff>184150</xdr:rowOff>
    </xdr:from>
    <xdr:to>
      <xdr:col>20</xdr:col>
      <xdr:colOff>349251</xdr:colOff>
      <xdr:row>21</xdr:row>
      <xdr:rowOff>206374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476249</xdr:colOff>
      <xdr:row>32</xdr:row>
      <xdr:rowOff>79375</xdr:rowOff>
    </xdr:from>
    <xdr:to>
      <xdr:col>14</xdr:col>
      <xdr:colOff>253999</xdr:colOff>
      <xdr:row>42</xdr:row>
      <xdr:rowOff>15874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5"/>
  <sheetViews>
    <sheetView tabSelected="1" zoomScale="70" zoomScaleNormal="70" workbookViewId="0">
      <selection activeCell="F16" sqref="F16"/>
    </sheetView>
  </sheetViews>
  <sheetFormatPr baseColWidth="10" defaultRowHeight="16.5" x14ac:dyDescent="0.25"/>
  <cols>
    <col min="1" max="1" width="11.42578125" style="33"/>
    <col min="2" max="2" width="7" style="1" customWidth="1"/>
    <col min="3" max="3" width="18.28515625" style="1" customWidth="1"/>
    <col min="4" max="4" width="13" style="1" customWidth="1"/>
    <col min="5" max="5" width="14" style="1" customWidth="1"/>
    <col min="6" max="6" width="15.42578125" style="1" bestFit="1" customWidth="1"/>
    <col min="7" max="7" width="14.85546875" style="1" bestFit="1" customWidth="1"/>
    <col min="8" max="8" width="16.5703125" style="1" customWidth="1"/>
    <col min="9" max="9" width="14.5703125" style="1" customWidth="1"/>
    <col min="10" max="10" width="14.5703125" style="1" bestFit="1" customWidth="1"/>
    <col min="11" max="11" width="12.7109375" style="1" customWidth="1"/>
    <col min="12" max="12" width="14" style="1" customWidth="1"/>
    <col min="13" max="13" width="14.85546875" style="1" bestFit="1" customWidth="1"/>
    <col min="14" max="14" width="15.85546875" style="1" bestFit="1" customWidth="1"/>
    <col min="15" max="15" width="14.85546875" style="1" bestFit="1" customWidth="1"/>
    <col min="16" max="16" width="14" style="1" bestFit="1" customWidth="1"/>
    <col min="17" max="17" width="15.85546875" style="1" customWidth="1"/>
    <col min="18" max="18" width="15.85546875" style="99" customWidth="1"/>
    <col min="19" max="19" width="7.7109375" style="1" customWidth="1"/>
    <col min="20" max="20" width="15.7109375" style="1" customWidth="1"/>
    <col min="21" max="21" width="16" style="1" bestFit="1" customWidth="1"/>
    <col min="22" max="23" width="11.42578125" style="1"/>
    <col min="24" max="24" width="6.28515625" style="1" customWidth="1"/>
    <col min="25" max="25" width="18" style="1" customWidth="1"/>
    <col min="26" max="26" width="15.85546875" style="1" customWidth="1"/>
    <col min="27" max="27" width="12.5703125" style="1" customWidth="1"/>
    <col min="28" max="28" width="15.28515625" style="1" customWidth="1"/>
    <col min="29" max="29" width="12.140625" style="1" customWidth="1"/>
    <col min="30" max="30" width="14" style="1" customWidth="1"/>
    <col min="31" max="31" width="17.140625" style="1" customWidth="1"/>
    <col min="32" max="32" width="13.42578125" style="1" customWidth="1"/>
    <col min="33" max="33" width="14.5703125" style="1" customWidth="1"/>
    <col min="34" max="34" width="14.7109375" style="1" customWidth="1"/>
    <col min="35" max="35" width="12.5703125" style="1" customWidth="1"/>
    <col min="36" max="36" width="11.42578125" style="1"/>
    <col min="37" max="37" width="14.85546875" style="1" bestFit="1" customWidth="1"/>
    <col min="38" max="38" width="11.42578125" style="1"/>
    <col min="39" max="39" width="14.85546875" style="1" bestFit="1" customWidth="1"/>
    <col min="40" max="40" width="14.85546875" style="99" customWidth="1"/>
    <col min="41" max="41" width="6.7109375" style="1" customWidth="1"/>
    <col min="42" max="16384" width="11.42578125" style="1"/>
  </cols>
  <sheetData>
    <row r="1" spans="1:43" ht="17.25" thickBot="1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8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8"/>
      <c r="AO1" s="106"/>
      <c r="AP1" s="108"/>
      <c r="AQ1" s="108"/>
    </row>
    <row r="2" spans="1:43" s="33" customFormat="1" ht="17.25" thickBot="1" x14ac:dyDescent="0.3">
      <c r="A2" s="106"/>
      <c r="B2" s="559" t="s">
        <v>84</v>
      </c>
      <c r="C2" s="561"/>
      <c r="D2" s="560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8"/>
      <c r="S2" s="106"/>
      <c r="T2" s="106"/>
      <c r="U2" s="106"/>
      <c r="V2" s="106"/>
      <c r="W2" s="106"/>
      <c r="X2" s="559" t="s">
        <v>83</v>
      </c>
      <c r="Y2" s="560"/>
      <c r="Z2" s="107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8"/>
      <c r="AO2" s="106"/>
      <c r="AP2" s="108"/>
      <c r="AQ2" s="108"/>
    </row>
    <row r="3" spans="1:43" ht="19.5" thickTop="1" thickBot="1" x14ac:dyDescent="0.3">
      <c r="A3" s="106"/>
      <c r="B3" s="38"/>
      <c r="C3" s="39"/>
      <c r="D3" s="468" t="s">
        <v>189</v>
      </c>
      <c r="E3" s="469" t="s">
        <v>190</v>
      </c>
      <c r="F3" s="469" t="s">
        <v>190</v>
      </c>
      <c r="G3" s="470" t="s">
        <v>99</v>
      </c>
      <c r="H3" s="468" t="s">
        <v>189</v>
      </c>
      <c r="I3" s="470" t="s">
        <v>99</v>
      </c>
      <c r="J3" s="469" t="s">
        <v>190</v>
      </c>
      <c r="K3" s="468" t="s">
        <v>189</v>
      </c>
      <c r="L3" s="470" t="s">
        <v>99</v>
      </c>
      <c r="M3" s="469" t="s">
        <v>190</v>
      </c>
      <c r="N3" s="470" t="s">
        <v>99</v>
      </c>
      <c r="O3" s="469" t="s">
        <v>190</v>
      </c>
      <c r="P3" s="468" t="s">
        <v>87</v>
      </c>
      <c r="Q3" s="470" t="s">
        <v>99</v>
      </c>
      <c r="R3" s="36"/>
      <c r="S3" s="36"/>
      <c r="T3" s="36"/>
      <c r="U3" s="37"/>
      <c r="V3" s="106"/>
      <c r="W3" s="106"/>
      <c r="X3" s="38"/>
      <c r="Y3" s="39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108"/>
      <c r="AQ3" s="108"/>
    </row>
    <row r="4" spans="1:43" ht="16.5" customHeight="1" thickBot="1" x14ac:dyDescent="0.3">
      <c r="A4" s="106"/>
      <c r="B4" s="38"/>
      <c r="C4" s="39"/>
      <c r="D4" s="43" t="s">
        <v>8</v>
      </c>
      <c r="E4" s="100" t="s">
        <v>9</v>
      </c>
      <c r="F4" s="100" t="s">
        <v>10</v>
      </c>
      <c r="G4" s="100" t="s">
        <v>11</v>
      </c>
      <c r="H4" s="100" t="s">
        <v>12</v>
      </c>
      <c r="I4" s="100" t="s">
        <v>13</v>
      </c>
      <c r="J4" s="100" t="s">
        <v>14</v>
      </c>
      <c r="K4" s="100" t="s">
        <v>6</v>
      </c>
      <c r="L4" s="100" t="s">
        <v>7</v>
      </c>
      <c r="M4" s="100" t="s">
        <v>15</v>
      </c>
      <c r="N4" s="100" t="s">
        <v>16</v>
      </c>
      <c r="O4" s="100" t="s">
        <v>17</v>
      </c>
      <c r="P4" s="100" t="s">
        <v>18</v>
      </c>
      <c r="Q4" s="45" t="s">
        <v>19</v>
      </c>
      <c r="R4" s="151" t="s">
        <v>47</v>
      </c>
      <c r="S4" s="555" t="s">
        <v>67</v>
      </c>
      <c r="T4" s="536"/>
      <c r="U4" s="41"/>
      <c r="V4" s="106"/>
      <c r="W4" s="106"/>
      <c r="X4" s="38"/>
      <c r="Y4" s="39"/>
      <c r="Z4" s="43" t="s">
        <v>8</v>
      </c>
      <c r="AA4" s="44" t="s">
        <v>9</v>
      </c>
      <c r="AB4" s="44" t="s">
        <v>10</v>
      </c>
      <c r="AC4" s="44" t="s">
        <v>11</v>
      </c>
      <c r="AD4" s="44" t="s">
        <v>12</v>
      </c>
      <c r="AE4" s="44" t="s">
        <v>13</v>
      </c>
      <c r="AF4" s="44" t="s">
        <v>14</v>
      </c>
      <c r="AG4" s="44" t="s">
        <v>6</v>
      </c>
      <c r="AH4" s="44" t="s">
        <v>7</v>
      </c>
      <c r="AI4" s="44" t="s">
        <v>15</v>
      </c>
      <c r="AJ4" s="44" t="s">
        <v>16</v>
      </c>
      <c r="AK4" s="44" t="s">
        <v>17</v>
      </c>
      <c r="AL4" s="44" t="s">
        <v>18</v>
      </c>
      <c r="AM4" s="45" t="s">
        <v>19</v>
      </c>
      <c r="AN4" s="56" t="s">
        <v>113</v>
      </c>
      <c r="AO4" s="41"/>
      <c r="AP4" s="108"/>
      <c r="AQ4" s="108"/>
    </row>
    <row r="5" spans="1:43" ht="16.5" customHeight="1" x14ac:dyDescent="0.25">
      <c r="A5" s="106"/>
      <c r="B5" s="38"/>
      <c r="C5" s="472" t="s">
        <v>20</v>
      </c>
      <c r="D5" s="473">
        <v>0</v>
      </c>
      <c r="E5" s="473">
        <v>430</v>
      </c>
      <c r="F5" s="473">
        <v>0</v>
      </c>
      <c r="G5" s="473">
        <v>120</v>
      </c>
      <c r="H5" s="473">
        <v>150</v>
      </c>
      <c r="I5" s="473">
        <v>140</v>
      </c>
      <c r="J5" s="473"/>
      <c r="K5" s="473"/>
      <c r="L5" s="473"/>
      <c r="M5" s="473"/>
      <c r="N5" s="473"/>
      <c r="O5" s="473"/>
      <c r="P5" s="473"/>
      <c r="Q5" s="474"/>
      <c r="R5" s="226">
        <f>SUM(D5:Q5)</f>
        <v>840</v>
      </c>
      <c r="S5" s="556">
        <f>(D5*Z11)+(E5*AA11)+(F5*AB11)+(G5*AC11)+(H5*AD11)+(I5*AE11)+(J5*AF11)+(K5*AG11)+(L5*AH11)+(M5*AI11)+(N5*AJ11)+(O5*AK11)+(P5*AL11)+(Q5*AM11)</f>
        <v>24160</v>
      </c>
      <c r="T5" s="537"/>
      <c r="U5" s="41"/>
      <c r="V5" s="106"/>
      <c r="W5" s="106"/>
      <c r="X5" s="38"/>
      <c r="Y5" s="46" t="s">
        <v>0</v>
      </c>
      <c r="Z5" s="73">
        <v>1</v>
      </c>
      <c r="AA5" s="74">
        <v>3</v>
      </c>
      <c r="AB5" s="74">
        <v>3</v>
      </c>
      <c r="AC5" s="74">
        <v>2</v>
      </c>
      <c r="AD5" s="74">
        <v>1</v>
      </c>
      <c r="AE5" s="74">
        <v>2</v>
      </c>
      <c r="AF5" s="74">
        <v>3</v>
      </c>
      <c r="AG5" s="74">
        <v>1</v>
      </c>
      <c r="AH5" s="74">
        <v>2</v>
      </c>
      <c r="AI5" s="74">
        <v>3</v>
      </c>
      <c r="AJ5" s="74">
        <v>2</v>
      </c>
      <c r="AK5" s="74">
        <v>3</v>
      </c>
      <c r="AL5" s="74">
        <v>1</v>
      </c>
      <c r="AM5" s="75">
        <v>2</v>
      </c>
      <c r="AN5" s="160"/>
      <c r="AO5" s="41"/>
      <c r="AP5" s="108"/>
      <c r="AQ5" s="108"/>
    </row>
    <row r="6" spans="1:43" ht="16.5" customHeight="1" x14ac:dyDescent="0.25">
      <c r="A6" s="106"/>
      <c r="B6" s="38"/>
      <c r="C6" s="82" t="s">
        <v>48</v>
      </c>
      <c r="D6" s="83">
        <f>IF(D5&gt;0,ROUND(D55+D87+D119,0),0)</f>
        <v>0</v>
      </c>
      <c r="E6" s="83">
        <f>IF(E5&gt;0,ROUND(E67+E99+E131,0),0)</f>
        <v>0</v>
      </c>
      <c r="F6" s="83">
        <f>IF(F5&gt;0,ROUND(F67+F99+F131,0),0)</f>
        <v>0</v>
      </c>
      <c r="G6" s="83">
        <f>IF(G5&gt;0,ROUND(G61+G93+G125,0),0)</f>
        <v>0</v>
      </c>
      <c r="H6" s="83">
        <f>IF(H5&gt;0,ROUND(H55+H87+H119,0),0)</f>
        <v>0</v>
      </c>
      <c r="I6" s="83">
        <f>IF(I5&gt;0,ROUND(I61+I93+I125,0),0)</f>
        <v>0</v>
      </c>
      <c r="J6" s="83">
        <f>IF(J5&gt;0,ROUND(J67+J99+J131,0),0)</f>
        <v>0</v>
      </c>
      <c r="K6" s="83">
        <f>IF(K5&gt;0,ROUND(K55+K87+K119,0),0)</f>
        <v>0</v>
      </c>
      <c r="L6" s="83">
        <f>IF(L5&gt;0,ROUND(L61+L93+L125,0),0)</f>
        <v>0</v>
      </c>
      <c r="M6" s="83">
        <f>IF(M5&gt;0,ROUND(M61+M93+M125,0),0)</f>
        <v>0</v>
      </c>
      <c r="N6" s="83">
        <f>IF(N5&gt;0,ROUND(N61+N93+N125,0),0)</f>
        <v>0</v>
      </c>
      <c r="O6" s="83">
        <f>IF(O5&gt;0,ROUND(O67+O99+O131,0),0)</f>
        <v>0</v>
      </c>
      <c r="P6" s="83">
        <f>IF(P5&gt;0,ROUND(P55+P87+P119,0),0)</f>
        <v>0</v>
      </c>
      <c r="Q6" s="224">
        <f>IF(Q5&gt;0,ROUND(Q61+Q93+Q125,0),0)</f>
        <v>0</v>
      </c>
      <c r="R6" s="87">
        <f>SUM(D6:Q6)</f>
        <v>0</v>
      </c>
      <c r="S6" s="556" t="s">
        <v>68</v>
      </c>
      <c r="T6" s="537"/>
      <c r="U6" s="41"/>
      <c r="V6" s="106"/>
      <c r="W6" s="106"/>
      <c r="X6" s="38"/>
      <c r="Y6" s="49" t="s">
        <v>5</v>
      </c>
      <c r="Z6" s="50">
        <v>5</v>
      </c>
      <c r="AA6" s="51">
        <v>23</v>
      </c>
      <c r="AB6" s="51">
        <v>8</v>
      </c>
      <c r="AC6" s="51">
        <v>16</v>
      </c>
      <c r="AD6" s="51">
        <v>55</v>
      </c>
      <c r="AE6" s="51">
        <v>56</v>
      </c>
      <c r="AF6" s="51">
        <v>100</v>
      </c>
      <c r="AG6" s="51">
        <v>420</v>
      </c>
      <c r="AH6" s="51">
        <v>945</v>
      </c>
      <c r="AI6" s="51">
        <v>156</v>
      </c>
      <c r="AJ6" s="51">
        <v>100</v>
      </c>
      <c r="AK6" s="51">
        <v>756</v>
      </c>
      <c r="AL6" s="51">
        <v>266</v>
      </c>
      <c r="AM6" s="52">
        <v>425</v>
      </c>
      <c r="AN6" s="161"/>
      <c r="AO6" s="41"/>
      <c r="AP6" s="108"/>
      <c r="AQ6" s="108"/>
    </row>
    <row r="7" spans="1:43" ht="18" customHeight="1" thickBot="1" x14ac:dyDescent="0.3">
      <c r="A7" s="106"/>
      <c r="B7" s="38"/>
      <c r="C7" s="84" t="s">
        <v>44</v>
      </c>
      <c r="D7" s="85">
        <f>IF(D5&gt;0,D5+D6,0)</f>
        <v>0</v>
      </c>
      <c r="E7" s="85">
        <f t="shared" ref="E7:Q7" si="0">IF(E5&gt;0,E5+E6,0)</f>
        <v>430</v>
      </c>
      <c r="F7" s="85">
        <f t="shared" si="0"/>
        <v>0</v>
      </c>
      <c r="G7" s="85">
        <f t="shared" si="0"/>
        <v>120</v>
      </c>
      <c r="H7" s="85">
        <f t="shared" si="0"/>
        <v>150</v>
      </c>
      <c r="I7" s="85">
        <f t="shared" si="0"/>
        <v>140</v>
      </c>
      <c r="J7" s="85">
        <f t="shared" si="0"/>
        <v>0</v>
      </c>
      <c r="K7" s="85">
        <f t="shared" si="0"/>
        <v>0</v>
      </c>
      <c r="L7" s="85">
        <f t="shared" si="0"/>
        <v>0</v>
      </c>
      <c r="M7" s="85">
        <f t="shared" si="0"/>
        <v>0</v>
      </c>
      <c r="N7" s="85">
        <f t="shared" si="0"/>
        <v>0</v>
      </c>
      <c r="O7" s="85">
        <f t="shared" si="0"/>
        <v>0</v>
      </c>
      <c r="P7" s="85">
        <f t="shared" si="0"/>
        <v>0</v>
      </c>
      <c r="Q7" s="225">
        <f t="shared" si="0"/>
        <v>0</v>
      </c>
      <c r="R7" s="227">
        <f>IF(R5&gt;0,R5+R6,0)</f>
        <v>840</v>
      </c>
      <c r="S7" s="557">
        <f>IF(D7=" ",,D7*Z11)+IF(E7=" ",,E7*AA11)+IF(F7=" ",,F7*AB11)+IF(G7=" ",,G7*AC11)+IF(H7=" ",,H7*AD11)+IF(I7=" ",,I7*AE11)+IF(J7=" ",,J7*AF11)+IF(K7=" ",,K7*AG11)+IF(L7=" ",,L7*AH11)+IF(M7=" ",,M7*AI11)+IF(N7=" ",,N7*AJ11)+IF(O7=" ",,O7*AK11)+IF(P7=" ",,P7*AL11)+IF(Q7=" ",,Q7*AM11)</f>
        <v>24160</v>
      </c>
      <c r="T7" s="558"/>
      <c r="U7" s="41"/>
      <c r="V7" s="587" t="s">
        <v>109</v>
      </c>
      <c r="W7" s="588"/>
      <c r="X7" s="38"/>
      <c r="Y7" s="49" t="s">
        <v>1</v>
      </c>
      <c r="Z7" s="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4"/>
      <c r="AN7" s="161"/>
      <c r="AO7" s="41"/>
      <c r="AP7" s="108"/>
      <c r="AQ7" s="108"/>
    </row>
    <row r="8" spans="1:43" ht="33.75" customHeight="1" thickBot="1" x14ac:dyDescent="0.3">
      <c r="A8" s="106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79"/>
      <c r="U8" s="41"/>
      <c r="V8" s="587"/>
      <c r="W8" s="588"/>
      <c r="X8" s="38"/>
      <c r="Y8" s="49" t="s">
        <v>2</v>
      </c>
      <c r="Z8" s="50">
        <v>14</v>
      </c>
      <c r="AA8" s="51">
        <v>7</v>
      </c>
      <c r="AB8" s="51">
        <v>6</v>
      </c>
      <c r="AC8" s="51">
        <v>18</v>
      </c>
      <c r="AD8" s="51">
        <v>18</v>
      </c>
      <c r="AE8" s="51">
        <v>76</v>
      </c>
      <c r="AF8" s="51">
        <v>30</v>
      </c>
      <c r="AG8" s="51">
        <v>675</v>
      </c>
      <c r="AH8" s="51">
        <v>170</v>
      </c>
      <c r="AI8" s="51">
        <v>150</v>
      </c>
      <c r="AJ8" s="51">
        <v>900</v>
      </c>
      <c r="AK8" s="51">
        <v>945</v>
      </c>
      <c r="AL8" s="51">
        <v>105</v>
      </c>
      <c r="AM8" s="157">
        <v>625</v>
      </c>
      <c r="AN8" s="52">
        <v>3</v>
      </c>
      <c r="AO8" s="41"/>
      <c r="AP8" s="108"/>
      <c r="AQ8" s="108"/>
    </row>
    <row r="9" spans="1:43" ht="17.25" customHeight="1" thickBot="1" x14ac:dyDescent="0.3">
      <c r="A9" s="106"/>
      <c r="B9" s="38"/>
      <c r="C9" s="475" t="s">
        <v>28</v>
      </c>
      <c r="D9" s="231"/>
      <c r="E9" s="583" t="s">
        <v>29</v>
      </c>
      <c r="F9" s="583"/>
      <c r="G9" s="471">
        <v>8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211" t="s">
        <v>113</v>
      </c>
      <c r="S9" s="81" t="s">
        <v>47</v>
      </c>
      <c r="T9" s="589" t="s">
        <v>125</v>
      </c>
      <c r="U9" s="41"/>
      <c r="V9" s="587"/>
      <c r="W9" s="588"/>
      <c r="X9" s="38"/>
      <c r="Y9" s="49" t="s">
        <v>4</v>
      </c>
      <c r="Z9" s="50">
        <v>8</v>
      </c>
      <c r="AA9" s="51">
        <v>8</v>
      </c>
      <c r="AB9" s="51">
        <v>25</v>
      </c>
      <c r="AC9" s="51">
        <v>12</v>
      </c>
      <c r="AD9" s="51">
        <v>1</v>
      </c>
      <c r="AE9" s="51">
        <v>16</v>
      </c>
      <c r="AF9" s="51">
        <v>30</v>
      </c>
      <c r="AG9" s="51">
        <v>300</v>
      </c>
      <c r="AH9" s="51">
        <v>225</v>
      </c>
      <c r="AI9" s="51">
        <v>450</v>
      </c>
      <c r="AJ9" s="51">
        <v>250</v>
      </c>
      <c r="AK9" s="51">
        <v>10</v>
      </c>
      <c r="AL9" s="51">
        <v>70</v>
      </c>
      <c r="AM9" s="157">
        <v>435</v>
      </c>
      <c r="AN9" s="52">
        <v>4</v>
      </c>
      <c r="AO9" s="41"/>
      <c r="AP9" s="108"/>
      <c r="AQ9" s="108"/>
    </row>
    <row r="10" spans="1:43" s="33" customFormat="1" x14ac:dyDescent="0.25">
      <c r="A10" s="106"/>
      <c r="B10" s="38"/>
      <c r="C10" s="476" t="s">
        <v>21</v>
      </c>
      <c r="D10" s="477"/>
      <c r="E10" s="477">
        <v>0</v>
      </c>
      <c r="F10" s="477"/>
      <c r="G10" s="477"/>
      <c r="H10" s="477">
        <v>0</v>
      </c>
      <c r="I10" s="477">
        <v>0</v>
      </c>
      <c r="J10" s="477"/>
      <c r="K10" s="478">
        <v>0</v>
      </c>
      <c r="L10" s="478"/>
      <c r="M10" s="478"/>
      <c r="N10" s="478"/>
      <c r="O10" s="478"/>
      <c r="P10" s="478"/>
      <c r="Q10" s="478"/>
      <c r="R10" s="479"/>
      <c r="S10" s="228">
        <f>SUM(D10:R10)</f>
        <v>0</v>
      </c>
      <c r="T10" s="589"/>
      <c r="U10" s="41"/>
      <c r="V10" s="106"/>
      <c r="W10" s="106"/>
      <c r="X10" s="38"/>
      <c r="Y10" s="76" t="s">
        <v>3</v>
      </c>
      <c r="Z10" s="77">
        <v>30</v>
      </c>
      <c r="AA10" s="78">
        <v>2</v>
      </c>
      <c r="AB10" s="78">
        <v>12</v>
      </c>
      <c r="AC10" s="78">
        <v>7</v>
      </c>
      <c r="AD10" s="78">
        <v>24</v>
      </c>
      <c r="AE10" s="78">
        <v>56</v>
      </c>
      <c r="AF10" s="78">
        <v>30</v>
      </c>
      <c r="AG10" s="78">
        <v>560</v>
      </c>
      <c r="AH10" s="78">
        <v>505</v>
      </c>
      <c r="AI10" s="78">
        <v>60</v>
      </c>
      <c r="AJ10" s="78">
        <v>300</v>
      </c>
      <c r="AK10" s="78">
        <v>1310</v>
      </c>
      <c r="AL10" s="78">
        <v>1</v>
      </c>
      <c r="AM10" s="158">
        <v>375</v>
      </c>
      <c r="AN10" s="52">
        <v>2</v>
      </c>
      <c r="AO10" s="41"/>
      <c r="AP10" s="108"/>
      <c r="AQ10" s="108"/>
    </row>
    <row r="11" spans="1:43" s="33" customFormat="1" ht="17.25" thickBot="1" x14ac:dyDescent="0.3">
      <c r="A11" s="106"/>
      <c r="B11" s="38"/>
      <c r="C11" s="205" t="s">
        <v>48</v>
      </c>
      <c r="D11" s="83">
        <f t="shared" ref="D11:J11" si="1">IF(D10&gt;0,ROUND(D58+D64+D70+D90+D96+D102+D122+D128+D134,0),0)</f>
        <v>0</v>
      </c>
      <c r="E11" s="83">
        <f t="shared" si="1"/>
        <v>0</v>
      </c>
      <c r="F11" s="83">
        <f t="shared" si="1"/>
        <v>0</v>
      </c>
      <c r="G11" s="83">
        <f t="shared" si="1"/>
        <v>0</v>
      </c>
      <c r="H11" s="83">
        <f t="shared" si="1"/>
        <v>0</v>
      </c>
      <c r="I11" s="83">
        <f t="shared" si="1"/>
        <v>0</v>
      </c>
      <c r="J11" s="83">
        <f t="shared" si="1"/>
        <v>0</v>
      </c>
      <c r="K11" s="83">
        <f t="shared" ref="K11:R11" si="2">IF(K10&gt;0,ROUND(K58+K64+K70+K90+K96+K102+K122+K128+K134,0),0)</f>
        <v>0</v>
      </c>
      <c r="L11" s="83">
        <f t="shared" si="2"/>
        <v>0</v>
      </c>
      <c r="M11" s="83">
        <f t="shared" si="2"/>
        <v>0</v>
      </c>
      <c r="N11" s="83">
        <f t="shared" si="2"/>
        <v>0</v>
      </c>
      <c r="O11" s="83">
        <f t="shared" si="2"/>
        <v>0</v>
      </c>
      <c r="P11" s="83">
        <f t="shared" si="2"/>
        <v>0</v>
      </c>
      <c r="Q11" s="83">
        <f t="shared" si="2"/>
        <v>0</v>
      </c>
      <c r="R11" s="232">
        <f t="shared" si="2"/>
        <v>0</v>
      </c>
      <c r="S11" s="229">
        <f>SUM(D11:R11)</f>
        <v>0</v>
      </c>
      <c r="T11" s="589"/>
      <c r="U11" s="41"/>
      <c r="V11" s="106"/>
      <c r="W11" s="106"/>
      <c r="X11" s="38"/>
      <c r="Y11" s="53" t="s">
        <v>66</v>
      </c>
      <c r="Z11" s="54">
        <v>16</v>
      </c>
      <c r="AA11" s="55">
        <v>8</v>
      </c>
      <c r="AB11" s="55">
        <v>24</v>
      </c>
      <c r="AC11" s="55">
        <v>8</v>
      </c>
      <c r="AD11" s="55">
        <v>72</v>
      </c>
      <c r="AE11" s="55">
        <v>64</v>
      </c>
      <c r="AF11" s="55">
        <v>400</v>
      </c>
      <c r="AG11" s="55">
        <v>480</v>
      </c>
      <c r="AH11" s="55">
        <v>360</v>
      </c>
      <c r="AI11" s="55">
        <v>200</v>
      </c>
      <c r="AJ11" s="55">
        <v>160</v>
      </c>
      <c r="AK11" s="55">
        <v>320</v>
      </c>
      <c r="AL11" s="55">
        <v>340</v>
      </c>
      <c r="AM11" s="159">
        <v>400</v>
      </c>
      <c r="AN11" s="162"/>
      <c r="AO11" s="41"/>
      <c r="AP11" s="108"/>
      <c r="AQ11" s="108"/>
    </row>
    <row r="12" spans="1:43" s="33" customFormat="1" ht="17.25" thickBot="1" x14ac:dyDescent="0.3">
      <c r="A12" s="106"/>
      <c r="B12" s="38"/>
      <c r="C12" s="207" t="s">
        <v>44</v>
      </c>
      <c r="D12" s="85" t="str">
        <f t="shared" ref="D12:J12" si="3">IF(D10&gt;0,D10+D11," ")</f>
        <v xml:space="preserve"> </v>
      </c>
      <c r="E12" s="85" t="str">
        <f t="shared" si="3"/>
        <v xml:space="preserve"> </v>
      </c>
      <c r="F12" s="85" t="str">
        <f t="shared" si="3"/>
        <v xml:space="preserve"> </v>
      </c>
      <c r="G12" s="85" t="str">
        <f t="shared" si="3"/>
        <v xml:space="preserve"> </v>
      </c>
      <c r="H12" s="85" t="str">
        <f t="shared" si="3"/>
        <v xml:space="preserve"> </v>
      </c>
      <c r="I12" s="85" t="str">
        <f t="shared" si="3"/>
        <v xml:space="preserve"> </v>
      </c>
      <c r="J12" s="85" t="str">
        <f t="shared" si="3"/>
        <v xml:space="preserve"> </v>
      </c>
      <c r="K12" s="85" t="str">
        <f t="shared" ref="K12:R12" si="4">IF(K10&gt;0,K10+K11," ")</f>
        <v xml:space="preserve"> </v>
      </c>
      <c r="L12" s="85" t="str">
        <f t="shared" si="4"/>
        <v xml:space="preserve"> </v>
      </c>
      <c r="M12" s="85" t="str">
        <f t="shared" si="4"/>
        <v xml:space="preserve"> </v>
      </c>
      <c r="N12" s="85" t="str">
        <f t="shared" si="4"/>
        <v xml:space="preserve"> </v>
      </c>
      <c r="O12" s="85" t="str">
        <f t="shared" si="4"/>
        <v xml:space="preserve"> </v>
      </c>
      <c r="P12" s="85" t="str">
        <f t="shared" si="4"/>
        <v xml:space="preserve"> </v>
      </c>
      <c r="Q12" s="85" t="str">
        <f t="shared" si="4"/>
        <v xml:space="preserve"> </v>
      </c>
      <c r="R12" s="233" t="str">
        <f t="shared" si="4"/>
        <v xml:space="preserve"> </v>
      </c>
      <c r="S12" s="230">
        <f>SUM(D12:R12)</f>
        <v>0</v>
      </c>
      <c r="T12" s="589"/>
      <c r="U12" s="41"/>
      <c r="V12" s="106"/>
      <c r="W12" s="106"/>
      <c r="X12" s="70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2"/>
      <c r="AP12" s="108"/>
      <c r="AQ12" s="108"/>
    </row>
    <row r="13" spans="1:43" s="33" customFormat="1" ht="21" customHeight="1" thickBot="1" x14ac:dyDescent="0.3">
      <c r="A13" s="106"/>
      <c r="B13" s="38"/>
      <c r="C13" s="42"/>
      <c r="D13" s="42"/>
      <c r="E13" s="42"/>
      <c r="F13" s="485" t="s">
        <v>69</v>
      </c>
      <c r="G13" s="466" t="s">
        <v>70</v>
      </c>
      <c r="H13" s="487" t="str">
        <f>(IF(AND(I25&lt;J25,I25&lt;K25), "Attaquez avec des armes contondantes",IF(AND(J25&lt;I25,J25&lt;K25),"Attaquez avec des armes blanches",IF(AND(K25&lt;I25,K25&lt;J25),"Attaquez avec des armes de jet"," "))))</f>
        <v xml:space="preserve"> </v>
      </c>
      <c r="I13" s="488"/>
      <c r="J13" s="488"/>
      <c r="K13" s="489"/>
      <c r="L13" s="42"/>
      <c r="M13" s="42"/>
      <c r="N13" s="42"/>
      <c r="O13" s="42"/>
      <c r="P13" s="42"/>
      <c r="Q13" s="42"/>
      <c r="R13" s="42"/>
      <c r="S13" s="39"/>
      <c r="T13" s="79"/>
      <c r="U13" s="41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8"/>
      <c r="AO13" s="106"/>
      <c r="AP13" s="108"/>
      <c r="AQ13" s="108"/>
    </row>
    <row r="14" spans="1:43" s="33" customFormat="1" ht="21.75" customHeight="1" thickBot="1" x14ac:dyDescent="0.3">
      <c r="A14" s="106"/>
      <c r="B14" s="88"/>
      <c r="C14" s="562" t="str">
        <f>IF(AND(R7&gt;0,S12=0),"Victoire de l'attaquant",IF(AND(R7=0,S12&gt;0),"Victoire du defenseur","Match nul"))</f>
        <v>Victoire de l'attaquant</v>
      </c>
      <c r="D14" s="563"/>
      <c r="E14" s="564"/>
      <c r="F14" s="486"/>
      <c r="G14" s="467" t="s">
        <v>71</v>
      </c>
      <c r="H14" s="490" t="str">
        <f>IF(OR(AND(I25&gt;J25,I25&lt;K25),AND(I25&lt;J25,I25&gt;K25)),"et avec des armes contondantes",IF(OR(AND(J25&gt;I25,J25&lt;K25),AND(J25&lt;I25,J25&gt;K25)),"et avec des armes blanches",IF(OR(AND(K25&gt;J25,K25&lt;I25),AND(K25&lt;J25,K25&gt;I25)),"et avec des armes de jet"," ")))</f>
        <v xml:space="preserve"> </v>
      </c>
      <c r="I14" s="491"/>
      <c r="J14" s="491"/>
      <c r="K14" s="492"/>
      <c r="L14" s="79"/>
      <c r="M14" s="79"/>
      <c r="N14" s="79"/>
      <c r="O14" s="79"/>
      <c r="P14" s="79"/>
      <c r="Q14" s="79"/>
      <c r="R14" s="79"/>
      <c r="S14" s="79"/>
      <c r="T14" s="79"/>
      <c r="U14" s="41"/>
      <c r="V14" s="106"/>
      <c r="W14" s="106"/>
      <c r="X14" s="579" t="s">
        <v>127</v>
      </c>
      <c r="Y14" s="580"/>
      <c r="Z14" s="580"/>
      <c r="AA14" s="580"/>
      <c r="AB14" s="581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8"/>
      <c r="AO14" s="106"/>
      <c r="AP14" s="108"/>
      <c r="AQ14" s="108"/>
    </row>
    <row r="15" spans="1:43" ht="21.75" customHeight="1" thickTop="1" thickBot="1" x14ac:dyDescent="0.3">
      <c r="A15" s="106"/>
      <c r="B15" s="70"/>
      <c r="C15" s="71"/>
      <c r="D15" s="71"/>
      <c r="E15" s="71"/>
      <c r="F15" s="71"/>
      <c r="G15" s="482" t="s">
        <v>80</v>
      </c>
      <c r="H15" s="481">
        <f>-((Z21*D6)+(AA21*E6)+(AB21*F6)+(AC21*G6)+(AD21*H6)+(AE21*I6)+(AF21*J6)+(AG21*K6)+(AH21*L6)+(AI21*M6)+(AJ21*N6)+(AK21*O6)+(AL21*P6)+(AM21*Q6))</f>
        <v>0</v>
      </c>
      <c r="I15" s="483">
        <f>-((Z21*D11)+(AA21*E11)+(AB21*F11)+(AC21*G11)+(AD21*H11)+(AE21*I11)+(AF21*J11)+(AG21*K11)+(AH21*L11)+(AI21*M11)+(AJ21*N11)+(AK21*O11)+(AL21*P11)+(AM21*Q11))</f>
        <v>0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  <c r="V15" s="106"/>
      <c r="W15" s="106"/>
      <c r="X15" s="38"/>
      <c r="Y15" s="39"/>
      <c r="Z15" s="39"/>
      <c r="AA15" s="39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7"/>
      <c r="AP15" s="108"/>
      <c r="AQ15" s="108"/>
    </row>
    <row r="16" spans="1:43" s="33" customFormat="1" ht="21.75" customHeight="1" thickTop="1" thickBot="1" x14ac:dyDescent="0.3">
      <c r="A16" s="12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8"/>
      <c r="S16" s="106"/>
      <c r="T16" s="106"/>
      <c r="U16" s="106"/>
      <c r="V16" s="106"/>
      <c r="W16" s="106"/>
      <c r="X16" s="38"/>
      <c r="Y16" s="39"/>
      <c r="Z16" s="80"/>
      <c r="AA16" s="40"/>
      <c r="AB16" s="40"/>
      <c r="AC16" s="40"/>
      <c r="AD16" s="40"/>
      <c r="AE16" s="40"/>
      <c r="AF16" s="40"/>
      <c r="AG16" s="40"/>
      <c r="AH16" s="39"/>
      <c r="AI16" s="39"/>
      <c r="AJ16" s="39"/>
      <c r="AK16" s="39"/>
      <c r="AL16" s="39"/>
      <c r="AM16" s="39"/>
      <c r="AN16" s="39"/>
      <c r="AO16" s="41"/>
      <c r="AP16" s="108"/>
      <c r="AQ16" s="108"/>
    </row>
    <row r="17" spans="1:43" ht="17.25" customHeight="1" thickBot="1" x14ac:dyDescent="0.3">
      <c r="A17" s="106"/>
      <c r="B17" s="106"/>
      <c r="C17" s="15" t="s">
        <v>53</v>
      </c>
      <c r="D17" s="29" t="s">
        <v>54</v>
      </c>
      <c r="E17" s="27" t="s">
        <v>55</v>
      </c>
      <c r="F17" s="27" t="s">
        <v>57</v>
      </c>
      <c r="G17" s="27" t="s">
        <v>58</v>
      </c>
      <c r="H17" s="27" t="s">
        <v>59</v>
      </c>
      <c r="I17" s="27" t="s">
        <v>60</v>
      </c>
      <c r="J17" s="28" t="s">
        <v>61</v>
      </c>
      <c r="K17" s="565" t="s">
        <v>62</v>
      </c>
      <c r="L17" s="566"/>
      <c r="M17" s="106"/>
      <c r="N17" s="582" t="s">
        <v>86</v>
      </c>
      <c r="O17" s="582"/>
      <c r="P17" s="582"/>
      <c r="Q17" s="106"/>
      <c r="R17" s="108"/>
      <c r="S17" s="106"/>
      <c r="T17" s="106"/>
      <c r="U17" s="106"/>
      <c r="V17" s="106"/>
      <c r="W17" s="106"/>
      <c r="X17" s="38"/>
      <c r="Y17" s="42"/>
      <c r="Z17" s="217" t="s">
        <v>8</v>
      </c>
      <c r="AA17" s="218" t="s">
        <v>9</v>
      </c>
      <c r="AB17" s="218" t="s">
        <v>10</v>
      </c>
      <c r="AC17" s="218" t="s">
        <v>11</v>
      </c>
      <c r="AD17" s="218" t="s">
        <v>12</v>
      </c>
      <c r="AE17" s="218" t="s">
        <v>13</v>
      </c>
      <c r="AF17" s="218" t="s">
        <v>14</v>
      </c>
      <c r="AG17" s="218" t="s">
        <v>6</v>
      </c>
      <c r="AH17" s="218" t="s">
        <v>7</v>
      </c>
      <c r="AI17" s="218" t="s">
        <v>15</v>
      </c>
      <c r="AJ17" s="218" t="s">
        <v>16</v>
      </c>
      <c r="AK17" s="218" t="s">
        <v>17</v>
      </c>
      <c r="AL17" s="218" t="s">
        <v>18</v>
      </c>
      <c r="AM17" s="219" t="s">
        <v>19</v>
      </c>
      <c r="AN17" s="39"/>
      <c r="AO17" s="41"/>
      <c r="AP17" s="108"/>
      <c r="AQ17" s="108"/>
    </row>
    <row r="18" spans="1:43" ht="17.25" customHeight="1" x14ac:dyDescent="0.25">
      <c r="A18" s="106"/>
      <c r="B18" s="106"/>
      <c r="C18" s="17" t="s">
        <v>20</v>
      </c>
      <c r="D18" s="20"/>
      <c r="E18" s="31">
        <v>1</v>
      </c>
      <c r="F18" s="31">
        <v>1</v>
      </c>
      <c r="G18" s="31">
        <v>1</v>
      </c>
      <c r="H18" s="21"/>
      <c r="I18" s="31">
        <v>0</v>
      </c>
      <c r="J18" s="26"/>
      <c r="K18" s="567"/>
      <c r="L18" s="568"/>
      <c r="M18" s="106"/>
      <c r="N18" s="582"/>
      <c r="O18" s="582"/>
      <c r="P18" s="582"/>
      <c r="Q18" s="106"/>
      <c r="R18" s="108"/>
      <c r="S18" s="106"/>
      <c r="T18" s="106"/>
      <c r="U18" s="106"/>
      <c r="V18" s="106"/>
      <c r="W18" s="106"/>
      <c r="X18" s="38"/>
      <c r="Y18" s="244" t="s">
        <v>75</v>
      </c>
      <c r="Z18" s="247">
        <v>95</v>
      </c>
      <c r="AA18" s="47">
        <v>55</v>
      </c>
      <c r="AB18" s="47">
        <v>120</v>
      </c>
      <c r="AC18" s="47">
        <v>0</v>
      </c>
      <c r="AD18" s="47">
        <v>240</v>
      </c>
      <c r="AE18" s="47">
        <v>200</v>
      </c>
      <c r="AF18" s="47">
        <v>1200</v>
      </c>
      <c r="AG18" s="47">
        <v>1400</v>
      </c>
      <c r="AH18" s="47">
        <v>4400</v>
      </c>
      <c r="AI18" s="47">
        <v>1740</v>
      </c>
      <c r="AJ18" s="47">
        <v>2800</v>
      </c>
      <c r="AK18" s="47">
        <v>2000</v>
      </c>
      <c r="AL18" s="47">
        <v>1600</v>
      </c>
      <c r="AM18" s="48">
        <v>1500</v>
      </c>
      <c r="AN18" s="42"/>
      <c r="AO18" s="41"/>
      <c r="AP18" s="108"/>
      <c r="AQ18" s="108"/>
    </row>
    <row r="19" spans="1:43" s="33" customFormat="1" ht="17.25" customHeight="1" thickBot="1" x14ac:dyDescent="0.3">
      <c r="A19" s="106"/>
      <c r="B19" s="106"/>
      <c r="C19" s="16" t="s">
        <v>21</v>
      </c>
      <c r="D19" s="32">
        <v>0</v>
      </c>
      <c r="E19" s="6">
        <v>0</v>
      </c>
      <c r="F19" s="6">
        <v>0</v>
      </c>
      <c r="G19" s="6">
        <v>0</v>
      </c>
      <c r="H19" s="6">
        <v>0</v>
      </c>
      <c r="I19" s="7"/>
      <c r="J19" s="30">
        <v>0</v>
      </c>
      <c r="K19" s="569"/>
      <c r="L19" s="570"/>
      <c r="M19" s="109"/>
      <c r="N19" s="109"/>
      <c r="O19" s="109"/>
      <c r="P19" s="109"/>
      <c r="Q19" s="109"/>
      <c r="R19" s="109"/>
      <c r="S19" s="110"/>
      <c r="T19" s="106"/>
      <c r="U19" s="104"/>
      <c r="V19" s="106"/>
      <c r="W19" s="106"/>
      <c r="X19" s="38"/>
      <c r="Y19" s="245" t="s">
        <v>76</v>
      </c>
      <c r="Z19" s="248">
        <v>0</v>
      </c>
      <c r="AA19" s="51">
        <v>100</v>
      </c>
      <c r="AB19" s="51">
        <v>0</v>
      </c>
      <c r="AC19" s="51">
        <v>75</v>
      </c>
      <c r="AD19" s="51">
        <v>120</v>
      </c>
      <c r="AE19" s="51">
        <v>440</v>
      </c>
      <c r="AF19" s="51">
        <v>1200</v>
      </c>
      <c r="AG19" s="51">
        <v>600</v>
      </c>
      <c r="AH19" s="51">
        <v>3000</v>
      </c>
      <c r="AI19" s="51">
        <v>300</v>
      </c>
      <c r="AJ19" s="51">
        <v>360</v>
      </c>
      <c r="AK19" s="51">
        <v>4200</v>
      </c>
      <c r="AL19" s="51">
        <v>400</v>
      </c>
      <c r="AM19" s="52">
        <v>3420</v>
      </c>
      <c r="AN19" s="42"/>
      <c r="AO19" s="41"/>
      <c r="AP19" s="108"/>
      <c r="AQ19" s="108"/>
    </row>
    <row r="20" spans="1:43" ht="17.25" customHeight="1" thickBot="1" x14ac:dyDescent="0.3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4"/>
      <c r="N20" s="104"/>
      <c r="O20" s="104"/>
      <c r="P20" s="104"/>
      <c r="Q20" s="104"/>
      <c r="R20" s="104"/>
      <c r="S20" s="106"/>
      <c r="T20" s="106"/>
      <c r="U20" s="106"/>
      <c r="V20" s="106"/>
      <c r="W20" s="106"/>
      <c r="X20" s="38"/>
      <c r="Y20" s="245" t="s">
        <v>77</v>
      </c>
      <c r="Z20" s="248">
        <v>85</v>
      </c>
      <c r="AA20" s="51">
        <v>40</v>
      </c>
      <c r="AB20" s="51">
        <v>75</v>
      </c>
      <c r="AC20" s="51">
        <v>150</v>
      </c>
      <c r="AD20" s="51">
        <v>360</v>
      </c>
      <c r="AE20" s="51">
        <v>320</v>
      </c>
      <c r="AF20" s="51">
        <v>1200</v>
      </c>
      <c r="AG20" s="51">
        <v>3100</v>
      </c>
      <c r="AH20" s="51">
        <v>3400</v>
      </c>
      <c r="AI20" s="51">
        <v>700</v>
      </c>
      <c r="AJ20" s="51">
        <v>80</v>
      </c>
      <c r="AK20" s="51">
        <v>3360</v>
      </c>
      <c r="AL20" s="51">
        <v>1360</v>
      </c>
      <c r="AM20" s="52">
        <v>2200</v>
      </c>
      <c r="AN20" s="42"/>
      <c r="AO20" s="41"/>
      <c r="AP20" s="108"/>
      <c r="AQ20" s="108"/>
    </row>
    <row r="21" spans="1:43" ht="17.25" customHeight="1" thickBot="1" x14ac:dyDescent="0.3">
      <c r="A21" s="106"/>
      <c r="B21" s="559" t="s">
        <v>85</v>
      </c>
      <c r="C21" s="561"/>
      <c r="D21" s="560"/>
      <c r="E21" s="106"/>
      <c r="F21" s="106"/>
      <c r="G21" s="106"/>
      <c r="H21" s="106"/>
      <c r="I21" s="106"/>
      <c r="J21" s="274"/>
      <c r="K21" s="274"/>
      <c r="L21" s="106"/>
      <c r="M21" s="106"/>
      <c r="N21" s="106"/>
      <c r="O21" s="106"/>
      <c r="P21" s="104"/>
      <c r="Q21" s="104"/>
      <c r="R21" s="104"/>
      <c r="S21" s="106"/>
      <c r="T21" s="106"/>
      <c r="U21" s="106"/>
      <c r="V21" s="106"/>
      <c r="W21" s="106"/>
      <c r="X21" s="38"/>
      <c r="Y21" s="246" t="s">
        <v>128</v>
      </c>
      <c r="Z21" s="207">
        <v>1</v>
      </c>
      <c r="AA21" s="91">
        <v>1</v>
      </c>
      <c r="AB21" s="91">
        <v>1</v>
      </c>
      <c r="AC21" s="91">
        <v>1</v>
      </c>
      <c r="AD21" s="91">
        <v>3</v>
      </c>
      <c r="AE21" s="91">
        <v>4</v>
      </c>
      <c r="AF21" s="91">
        <v>15</v>
      </c>
      <c r="AG21" s="91">
        <v>30</v>
      </c>
      <c r="AH21" s="91">
        <v>45</v>
      </c>
      <c r="AI21" s="91">
        <v>12</v>
      </c>
      <c r="AJ21" s="91">
        <v>20</v>
      </c>
      <c r="AK21" s="91">
        <v>40</v>
      </c>
      <c r="AL21" s="91">
        <v>14</v>
      </c>
      <c r="AM21" s="221">
        <v>18</v>
      </c>
      <c r="AN21" s="39"/>
      <c r="AO21" s="41"/>
      <c r="AP21" s="108"/>
      <c r="AQ21" s="108"/>
    </row>
    <row r="22" spans="1:43" ht="17.25" customHeight="1" thickTop="1" thickBot="1" x14ac:dyDescent="0.3">
      <c r="A22" s="106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97"/>
      <c r="R22" s="97"/>
      <c r="S22" s="36"/>
      <c r="T22" s="36"/>
      <c r="U22" s="37"/>
      <c r="V22" s="106"/>
      <c r="W22" s="106"/>
      <c r="X22" s="38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39"/>
      <c r="AM22" s="39"/>
      <c r="AN22" s="39"/>
      <c r="AO22" s="41"/>
      <c r="AP22" s="108"/>
      <c r="AQ22" s="108"/>
    </row>
    <row r="23" spans="1:43" ht="17.25" customHeight="1" thickBot="1" x14ac:dyDescent="0.3">
      <c r="A23" s="106"/>
      <c r="B23" s="38"/>
      <c r="C23" s="572" t="s">
        <v>22</v>
      </c>
      <c r="D23" s="575" t="s">
        <v>23</v>
      </c>
      <c r="E23" s="575" t="s">
        <v>24</v>
      </c>
      <c r="F23" s="577" t="s">
        <v>3</v>
      </c>
      <c r="G23" s="39"/>
      <c r="H23" s="584" t="s">
        <v>25</v>
      </c>
      <c r="I23" s="575" t="s">
        <v>23</v>
      </c>
      <c r="J23" s="575" t="s">
        <v>24</v>
      </c>
      <c r="K23" s="577" t="s">
        <v>3</v>
      </c>
      <c r="L23" s="39"/>
      <c r="M23" s="39"/>
      <c r="N23" s="39"/>
      <c r="O23" s="39"/>
      <c r="P23" s="39"/>
      <c r="Q23" s="90"/>
      <c r="R23" s="90"/>
      <c r="S23" s="39"/>
      <c r="T23" s="39"/>
      <c r="U23" s="41"/>
      <c r="V23" s="106"/>
      <c r="W23" s="106"/>
      <c r="X23" s="38"/>
      <c r="Y23" s="282" t="s">
        <v>20</v>
      </c>
      <c r="Z23" s="374" t="s">
        <v>79</v>
      </c>
      <c r="AA23" s="375" t="s">
        <v>75</v>
      </c>
      <c r="AB23" s="376" t="s">
        <v>76</v>
      </c>
      <c r="AC23" s="377" t="s">
        <v>77</v>
      </c>
      <c r="AD23" s="79"/>
      <c r="AE23" s="79"/>
      <c r="AF23" s="496" t="s">
        <v>135</v>
      </c>
      <c r="AG23" s="57"/>
      <c r="AH23" s="58" t="s">
        <v>20</v>
      </c>
      <c r="AI23" s="59" t="s">
        <v>81</v>
      </c>
      <c r="AJ23" s="79"/>
      <c r="AK23" s="79"/>
      <c r="AL23" s="39"/>
      <c r="AM23" s="39"/>
      <c r="AN23" s="39"/>
      <c r="AO23" s="41"/>
      <c r="AP23" s="108"/>
      <c r="AQ23" s="108"/>
    </row>
    <row r="24" spans="1:43" ht="17.25" customHeight="1" x14ac:dyDescent="0.25">
      <c r="A24" s="106"/>
      <c r="B24" s="38"/>
      <c r="C24" s="573"/>
      <c r="D24" s="576"/>
      <c r="E24" s="576"/>
      <c r="F24" s="578"/>
      <c r="G24" s="39"/>
      <c r="H24" s="585"/>
      <c r="I24" s="576"/>
      <c r="J24" s="576"/>
      <c r="K24" s="578"/>
      <c r="L24" s="39"/>
      <c r="M24" s="39"/>
      <c r="N24" s="39"/>
      <c r="O24" s="39"/>
      <c r="P24" s="39"/>
      <c r="Q24" s="39"/>
      <c r="R24" s="39"/>
      <c r="S24" s="39"/>
      <c r="T24" s="39"/>
      <c r="U24" s="41"/>
      <c r="V24" s="106"/>
      <c r="W24" s="106"/>
      <c r="X24" s="38"/>
      <c r="Y24" s="493" t="s">
        <v>130</v>
      </c>
      <c r="Z24" s="379" t="s">
        <v>78</v>
      </c>
      <c r="AA24" s="380">
        <f>((Z18*D5)+(AA18*E5)+(AB18*F5)+(AC18*G5)+(AD18*H5)+(AE18*I5)+(AF18*J5)+(AG18*K5)+(AH18*L5)+(AI18*M5)+(AJ18*N5)+(AK18*O5)+(AL18*P5)+(AM18*Q5))*IF(AA28=1,0.9,1)</f>
        <v>87650</v>
      </c>
      <c r="AB24" s="381">
        <f>((Z19*D5)+(AA19*E5)+(AB19*F5)+(AC19*G5)+(AD19*H5)+(AE19*I5)+(AF19*J5)+(AG19*K5)+(AH19*L5)+(AI19*M5)+(AJ19*N5)+(AK19*O5)+(AL19*P5)+(AM19*Q5))*IF(AA28=1,0.9,1)</f>
        <v>131600</v>
      </c>
      <c r="AC24" s="382">
        <f>((Z20*D5)+(AA20*E5)+(AB20*F5)+(AC20*G5)+(AD20*H5)+(AE20*I5)+(AF20*J5)+(AG20*K5)+(AH20*L5)+(AI20*M5)+(AJ20*N5)+(AK20*O5)+(AL20*P5)+(AM20*Q5))*IF(AA28=1,0.9,1)</f>
        <v>134000</v>
      </c>
      <c r="AD24" s="79"/>
      <c r="AE24" s="79"/>
      <c r="AF24" s="497"/>
      <c r="AG24" s="60" t="s">
        <v>78</v>
      </c>
      <c r="AH24" s="61">
        <f>(Z21*D5)+(AA21*E5)+(AB21*F5)+(AC21*G5)+(AD21*H5)+(AE21*I5)+(AF21*J5)+(AG21*K5)+(AH21*L5)+(AI21*M5)+(AJ21*N5)+(AK21*O5)+(AL21*P5)+(AM21*Q5)</f>
        <v>1560</v>
      </c>
      <c r="AI24" s="62">
        <f>(Z21*D10)+(AA21*E10)+(AB21*F10)+(AC22*G10)+(AD21*H10)+(AE21*I10)+(AF21*J10)+(AG21*K10)+(AH21*L10)+(AI21*M10)+(AJ21*N10)+(AK21*O10)+(AL21*P10)+(AM21*Q10)</f>
        <v>0</v>
      </c>
      <c r="AJ24" s="79"/>
      <c r="AK24" s="79"/>
      <c r="AL24" s="39"/>
      <c r="AM24" s="39"/>
      <c r="AN24" s="39"/>
      <c r="AO24" s="41"/>
      <c r="AP24" s="108"/>
      <c r="AQ24" s="108"/>
    </row>
    <row r="25" spans="1:43" s="33" customFormat="1" ht="17.25" customHeight="1" thickBot="1" x14ac:dyDescent="0.3">
      <c r="A25" s="106"/>
      <c r="B25" s="38"/>
      <c r="C25" s="574"/>
      <c r="D25" s="91">
        <f>((Z6*D5)+(AD6*H5)+(IF(G18=1,((AG6*K5)+(AL6*P5))*1.2,(AG6*K5)+(AL6*P5))))*IF(E18=1,1.2,1)*IF(F18=1,1.1,1)*IF(I18=1,1.1,1)*IF(J19=1,0.9,1)</f>
        <v>10890</v>
      </c>
      <c r="E25" s="91">
        <f>(AC6*G5)+(AE6*I5)+IF(G18=1,((AH6*L5)+(AJ6*N5)+(AM6*Q5))*1.2,(AH6*L5)+(AJ6*N5)+(AM6*Q5))*IF(E18=1,1.2,1)*IF(F18=1,1.1,1)*IF(I18=1,1.1,1)*IF(J19=1,0.9,1)</f>
        <v>9760</v>
      </c>
      <c r="F25" s="92">
        <f>(AA6*E5)+(AB6*F5)+(AF6*J5)+IF(G18=1,((AI6*M5)+(AK6*O5))*1.2,(AI6*M5)+(AK6*O5))*IF(E18=1,1.2,1)*IF(F18=1,1.1,1)*IF(I18=1,1.1,1)*IF(J19=1,0.9,1)</f>
        <v>9890</v>
      </c>
      <c r="G25" s="39"/>
      <c r="H25" s="586"/>
      <c r="I25" s="93">
        <f>(((AN8*R10)+(Z8*D10)+(AA8*E10)+(AB8*F10)+(AC8*G10)+(AD8*H10)+(AE8*I10)+(AF8*J10)+IF(G19=1,((AG8*K10)+(AH8*L10)+(AI8*M10)+(AJ8*N10)+(AK8*O10)+(AL8*P10)+(AM8*Q10))*1.2,(AG8*K10)+(AH8*L10)+(AI8*M10)+(AJ8*N10)+(AK8*O10)+(AL8*P10)+(AM8*Q10)))*IF(H19=1,1.1,1)*(G9/100+1)+(D9*10)+10)*IF(E19=1,1.2,1)*IF(F19=1,1.1,1)*IF(D19=1,2,1)</f>
        <v>10</v>
      </c>
      <c r="J25" s="93">
        <f>(((AN9*R10)+(Z9*D10)+(AA9*E10)+(AB9*F10)+(AC9*G10)+(AD9*H10)+(AE9*I10)+(AF9*J10)+IF(G19=1,((AG9*K10)+(AH9*L10)+(AI9*M10)+(AJ9*N10)+(AK9*O10)+(AL9*P10)+(AM9*Q10))*1.2,(AG9*K10)+(AH9*L10)+(AI9*M10)+(AJ9*N10)+(AK9*O10)+(AL9*P10)+(AM9*Q10)))*IF(H19=1,1.1,1)*(G9/100+1)+(D9*10)+10)*IF(E19=1,1.2,1)*IF(F19=1,1.1,1)*IF(D19=1,2,1)</f>
        <v>10</v>
      </c>
      <c r="K25" s="94">
        <f>(((AN10*R10)+(Z10*D10)+(AA10*E10)+(AB10*F10)+(AC10*G10)+(AD10*H10)+(AE10*I10)+(AF10*J10)+IF(G19=1,((AG10*K10)+(AH10*L10)+(AI10*M10)+(AJ10*N10)+(AK10*O10)+(AL10*P10)+(AM10*Q10))*1.2,(AG10*K10)+(AH10*L10)+(AI10*M10)+(AJ10*N10)+(AK10*O10)+(AL10*P10)+(AM10*Q10)))*IF(H19=1,1.1,1)*(G9/100+1)+(D9*10)+10)*IF(E19=1,1.2,1)*IF(F19=1,1.1,1)*IF(D19=1,2,1)</f>
        <v>10</v>
      </c>
      <c r="L25" s="39"/>
      <c r="M25" s="39"/>
      <c r="N25" s="39"/>
      <c r="O25" s="39"/>
      <c r="P25" s="39"/>
      <c r="Q25" s="39"/>
      <c r="R25" s="39"/>
      <c r="S25" s="39"/>
      <c r="T25" s="39"/>
      <c r="U25" s="41"/>
      <c r="V25" s="106"/>
      <c r="W25" s="106"/>
      <c r="X25" s="38"/>
      <c r="Y25" s="494"/>
      <c r="Z25" s="63" t="s">
        <v>80</v>
      </c>
      <c r="AA25" s="64">
        <f>-((Z18*D6)+(AA18*E6)+(AB18*F6)+(AC18*G6)+(AD18*H6)+(AE18*I6)+(AF18*J6)+(AG18*K6)+(AH18*L6)+(AI18*M6)+(AJ18*N6)+(AK18*O6)+(AL18*P6)+(AM18*Q6))*IF(AA28=1,0.9,1)</f>
        <v>0</v>
      </c>
      <c r="AB25" s="370">
        <f>-((Z19*D6)+(AA19*E6)+(AB19*F6)+(AC19*G6)+(AD19*H6)+(AE19*I6)+(AF19*J6)+(AG19*K6)+(AH19*L6)+(AI19*M6)+(AJ19*N6)+(AK19*O6)+(AL19*P6)+(AM19*Q6))*IF(AA28=1,0.9,1)</f>
        <v>0</v>
      </c>
      <c r="AC25" s="371">
        <f>-((Z20*D6)+(AA20*E6)+(AB20*F6)+(AC20*G6)+(AD20*H6)+(AE20*I6)+(AF20*J6)+(AG20*K6)+(AH20*L6)+(AI20*M6)+(AJ20*N6)+(AK20*O6)+(AL20*P6)+(AM20*Q6))*IF(AA28=1,0.9,1)</f>
        <v>0</v>
      </c>
      <c r="AD25" s="79"/>
      <c r="AE25" s="79"/>
      <c r="AF25" s="498"/>
      <c r="AG25" s="63" t="s">
        <v>80</v>
      </c>
      <c r="AH25" s="480">
        <f>-((Z21*D6)+(AA21*E6)+(AB21*F6)+(AC21*G6)+(AD21*H6)+(AE21*I6)+(AF21*J6)+(AG21*K6)+(AH21*L6)+(AI21*M6)+(AJ21*N6)+(AK21*O6)+(AL21*P6)+(AM21*Q6))</f>
        <v>0</v>
      </c>
      <c r="AI25" s="484">
        <f>-((Z21*D11)+(AA21*E11)+(AB21*F11)+(AC21*G11)+(AD21*H11)+(AE21*I11)+(AF21*J11)+(AG21*K11)+(AH21*L11)+(AI21*M11)+(AJ21*N11)+(AK21*O11)+(AL21*P11)+(AM21*Q11))</f>
        <v>0</v>
      </c>
      <c r="AJ25" s="79"/>
      <c r="AK25" s="79"/>
      <c r="AL25" s="79"/>
      <c r="AM25" s="39"/>
      <c r="AN25" s="39"/>
      <c r="AO25" s="41"/>
      <c r="AP25" s="108"/>
      <c r="AQ25" s="108"/>
    </row>
    <row r="26" spans="1:43" s="33" customFormat="1" ht="17.25" customHeight="1" thickBot="1" x14ac:dyDescent="0.3">
      <c r="A26" s="106"/>
      <c r="B26" s="38"/>
      <c r="C26" s="39"/>
      <c r="D26" s="39"/>
      <c r="E26" s="39"/>
      <c r="F26" s="39"/>
      <c r="G26" s="39"/>
      <c r="H26" s="84" t="s">
        <v>72</v>
      </c>
      <c r="I26" s="91">
        <f>S57</f>
        <v>3.5658153241650292</v>
      </c>
      <c r="J26" s="91">
        <f>S63</f>
        <v>3.1958087753765554</v>
      </c>
      <c r="K26" s="92">
        <f>S69</f>
        <v>3.2383759004584149</v>
      </c>
      <c r="L26" s="39"/>
      <c r="M26" s="39"/>
      <c r="N26" s="39"/>
      <c r="O26" s="39"/>
      <c r="P26" s="39"/>
      <c r="Q26" s="39"/>
      <c r="R26" s="39"/>
      <c r="S26" s="39"/>
      <c r="T26" s="39"/>
      <c r="U26" s="41"/>
      <c r="V26" s="106"/>
      <c r="W26" s="106"/>
      <c r="X26" s="38"/>
      <c r="Y26" s="493" t="s">
        <v>172</v>
      </c>
      <c r="Z26" s="15" t="s">
        <v>78</v>
      </c>
      <c r="AA26" s="378">
        <f>IF('Caracteristiques Batiments'!H8&gt;0,AA24/'Caracteristiques Batiments'!H8,0)</f>
        <v>5478.125</v>
      </c>
      <c r="AB26" s="378">
        <f>IF('Caracteristiques Batiments'!I8&gt;0,AB24/'Caracteristiques Batiments'!I8,0)</f>
        <v>8225</v>
      </c>
      <c r="AC26" s="378">
        <f>IF('Caracteristiques Batiments'!J8&gt;0,AC24/'Caracteristiques Batiments'!J8,0)</f>
        <v>8375</v>
      </c>
      <c r="AD26" s="39"/>
      <c r="AE26" s="298"/>
      <c r="AF26" s="261"/>
      <c r="AG26" s="261"/>
      <c r="AH26" s="261"/>
      <c r="AI26" s="69"/>
      <c r="AJ26" s="79"/>
      <c r="AK26" s="79"/>
      <c r="AL26" s="39"/>
      <c r="AM26" s="39"/>
      <c r="AN26" s="39"/>
      <c r="AO26" s="41"/>
      <c r="AP26" s="108"/>
      <c r="AQ26" s="108"/>
    </row>
    <row r="27" spans="1:43" ht="17.25" customHeight="1" thickBot="1" x14ac:dyDescent="0.3">
      <c r="A27" s="106"/>
      <c r="B27" s="38"/>
      <c r="C27" s="555" t="s">
        <v>26</v>
      </c>
      <c r="D27" s="590" t="s">
        <v>23</v>
      </c>
      <c r="E27" s="590" t="s">
        <v>27</v>
      </c>
      <c r="F27" s="536" t="s">
        <v>3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1"/>
      <c r="V27" s="106"/>
      <c r="W27" s="106"/>
      <c r="X27" s="38"/>
      <c r="Y27" s="494"/>
      <c r="Z27" s="276" t="s">
        <v>80</v>
      </c>
      <c r="AA27" s="281">
        <f>IF('Caracteristiques Batiments'!H8&gt;0,AA25/'Caracteristiques Batiments'!H8,0)</f>
        <v>0</v>
      </c>
      <c r="AB27" s="281">
        <f>IF('Caracteristiques Batiments'!I8&gt;0,AB25/'Caracteristiques Batiments'!I8,0)</f>
        <v>0</v>
      </c>
      <c r="AC27" s="281">
        <f>IF('Caracteristiques Batiments'!J8&gt;0,AC25/'Caracteristiques Batiments'!J8,0)</f>
        <v>0</v>
      </c>
      <c r="AD27" s="79"/>
      <c r="AE27" s="39"/>
      <c r="AF27" s="69"/>
      <c r="AG27" s="69"/>
      <c r="AH27" s="69"/>
      <c r="AI27" s="69"/>
      <c r="AJ27" s="79"/>
      <c r="AK27" s="79"/>
      <c r="AL27" s="39"/>
      <c r="AM27" s="39"/>
      <c r="AN27" s="39"/>
      <c r="AO27" s="41"/>
      <c r="AP27" s="108"/>
      <c r="AQ27" s="108"/>
    </row>
    <row r="28" spans="1:43" ht="17.25" customHeight="1" thickBot="1" x14ac:dyDescent="0.3">
      <c r="A28" s="106"/>
      <c r="B28" s="38"/>
      <c r="C28" s="571"/>
      <c r="D28" s="591"/>
      <c r="E28" s="591"/>
      <c r="F28" s="537"/>
      <c r="G28" s="39"/>
      <c r="H28" s="485" t="s">
        <v>69</v>
      </c>
      <c r="I28" s="86" t="s">
        <v>70</v>
      </c>
      <c r="J28" s="487" t="str">
        <f>(IF(AND(I25&lt;J25,I25&lt;K25), "Attaquez avec des armes contondantes",IF(AND(J25&lt;I25,J25&lt;K25),"Attaquez avec des armes blanches",IF(AND(K25&lt;I25,K25&lt;J25),"Attaquez avec des armes de jet"," "))))</f>
        <v xml:space="preserve"> </v>
      </c>
      <c r="K28" s="488"/>
      <c r="L28" s="488"/>
      <c r="M28" s="489"/>
      <c r="N28" s="39"/>
      <c r="O28" s="39"/>
      <c r="P28" s="39"/>
      <c r="Q28" s="39"/>
      <c r="R28" s="39"/>
      <c r="S28" s="39"/>
      <c r="T28" s="39"/>
      <c r="U28" s="41"/>
      <c r="V28" s="106"/>
      <c r="W28" s="106"/>
      <c r="X28" s="38"/>
      <c r="Y28" s="39"/>
      <c r="Z28" s="372" t="s">
        <v>82</v>
      </c>
      <c r="AA28" s="373">
        <v>0</v>
      </c>
      <c r="AB28" s="69"/>
      <c r="AC28" s="69"/>
      <c r="AD28" s="39"/>
      <c r="AE28" s="495"/>
      <c r="AF28" s="79"/>
      <c r="AG28" s="79"/>
      <c r="AH28" s="79"/>
      <c r="AI28" s="79"/>
      <c r="AJ28" s="79"/>
      <c r="AK28" s="79"/>
      <c r="AL28" s="39"/>
      <c r="AM28" s="39"/>
      <c r="AN28" s="39"/>
      <c r="AO28" s="41"/>
      <c r="AP28" s="108"/>
      <c r="AQ28" s="108"/>
    </row>
    <row r="29" spans="1:43" ht="17.25" customHeight="1" thickBot="1" x14ac:dyDescent="0.3">
      <c r="A29" s="106"/>
      <c r="B29" s="38"/>
      <c r="C29" s="571"/>
      <c r="D29" s="93">
        <f>IF(D25,D25-I25," ")</f>
        <v>10880</v>
      </c>
      <c r="E29" s="93">
        <f>IF(E25,E25-J25," ")</f>
        <v>9750</v>
      </c>
      <c r="F29" s="206">
        <f>IF(F25,F25-K25," ")</f>
        <v>9880</v>
      </c>
      <c r="G29" s="39"/>
      <c r="H29" s="486"/>
      <c r="I29" s="89" t="s">
        <v>71</v>
      </c>
      <c r="J29" s="490" t="str">
        <f>IF(OR(AND(I25&gt;J25,I25&lt;K25),AND(I25&lt;J25,I25&gt;K25)),"et avec des armes contondantes",IF(OR(AND(J25&gt;I25,J25&lt;K25),AND(J25&lt;I25,J25&gt;K25)),"et avec des armes blanches",IF(OR(AND(K25&gt;J25,K25&lt;I25),AND(K25&lt;J25,K25&gt;I25)),"et avec des armes de jet"," ")))</f>
        <v xml:space="preserve"> </v>
      </c>
      <c r="K29" s="491"/>
      <c r="L29" s="491"/>
      <c r="M29" s="492"/>
      <c r="N29" s="39"/>
      <c r="O29" s="39"/>
      <c r="P29" s="39"/>
      <c r="Q29" s="39"/>
      <c r="R29" s="39"/>
      <c r="S29" s="39"/>
      <c r="T29" s="39"/>
      <c r="U29" s="41"/>
      <c r="V29" s="106"/>
      <c r="W29" s="106"/>
      <c r="X29" s="38"/>
      <c r="Y29" s="79"/>
      <c r="Z29" s="79"/>
      <c r="AA29" s="79"/>
      <c r="AB29" s="79"/>
      <c r="AC29" s="79"/>
      <c r="AD29" s="39"/>
      <c r="AE29" s="495"/>
      <c r="AF29" s="79"/>
      <c r="AG29" s="79"/>
      <c r="AH29" s="79"/>
      <c r="AI29" s="79"/>
      <c r="AJ29" s="79"/>
      <c r="AK29" s="79"/>
      <c r="AL29" s="39"/>
      <c r="AM29" s="39"/>
      <c r="AN29" s="39"/>
      <c r="AO29" s="41"/>
      <c r="AP29" s="108"/>
      <c r="AQ29" s="108"/>
    </row>
    <row r="30" spans="1:43" ht="17.25" customHeight="1" thickBot="1" x14ac:dyDescent="0.3">
      <c r="A30" s="106"/>
      <c r="B30" s="38"/>
      <c r="C30" s="205" t="s">
        <v>73</v>
      </c>
      <c r="D30" s="93">
        <f>U54</f>
        <v>10886.434184675834</v>
      </c>
      <c r="E30" s="93">
        <f>U60</f>
        <v>9756.8041912246226</v>
      </c>
      <c r="F30" s="206">
        <f>U66</f>
        <v>9886.7616240995412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1"/>
      <c r="V30" s="106"/>
      <c r="W30" s="106"/>
      <c r="X30" s="38"/>
      <c r="Y30" s="56" t="s">
        <v>81</v>
      </c>
      <c r="Z30" s="374" t="s">
        <v>79</v>
      </c>
      <c r="AA30" s="375" t="s">
        <v>75</v>
      </c>
      <c r="AB30" s="376" t="s">
        <v>76</v>
      </c>
      <c r="AC30" s="377" t="s">
        <v>77</v>
      </c>
      <c r="AD30" s="39"/>
      <c r="AE30" s="39"/>
      <c r="AF30" s="79"/>
      <c r="AG30" s="79"/>
      <c r="AH30" s="79"/>
      <c r="AI30" s="79"/>
      <c r="AJ30" s="79"/>
      <c r="AK30" s="79"/>
      <c r="AL30" s="39"/>
      <c r="AM30" s="39"/>
      <c r="AN30" s="39"/>
      <c r="AO30" s="41"/>
      <c r="AP30" s="108"/>
      <c r="AQ30" s="108"/>
    </row>
    <row r="31" spans="1:43" ht="17.25" customHeight="1" x14ac:dyDescent="0.25">
      <c r="A31" s="106"/>
      <c r="B31" s="38"/>
      <c r="C31" s="205" t="s">
        <v>124</v>
      </c>
      <c r="D31" s="93">
        <f>U86</f>
        <v>0</v>
      </c>
      <c r="E31" s="93">
        <f>U92</f>
        <v>0</v>
      </c>
      <c r="F31" s="206">
        <f>U98</f>
        <v>0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1"/>
      <c r="V31" s="106"/>
      <c r="W31" s="106"/>
      <c r="X31" s="38"/>
      <c r="Y31" s="496" t="s">
        <v>130</v>
      </c>
      <c r="Z31" s="384" t="s">
        <v>78</v>
      </c>
      <c r="AA31" s="385">
        <f>((Z18*D10)+(AA18*E10)+(AB18*F10)+(AC18*G10)+(AD18*H10)+(AE18*I10)+(AF18*J10)+(AG18*K10)+(AH18*L10)+(AI18*M10)+(AJ18*N10)+(AK18*O10)+(AL18*P10)+(AM18*Q10))*IF(AA33=1,0.9,1)</f>
        <v>0</v>
      </c>
      <c r="AB31" s="386">
        <f>((Z19*D10)+(AA19*E10)+(AB19*F10)+(AC19*G10)+(AD19*H10)+(AE19*I10)+(AF19*J10)+(AG19*K10)+(AH19*L10)+(AI19*M10)+(AJ19*N10)+(AK19*O10)+(AL19*P10)+(AM19*Q10))*IF(AA33=1,0.9,1)</f>
        <v>0</v>
      </c>
      <c r="AC31" s="387">
        <f>((Z20*D10)+(AA20*E10)+(AB20*F10)+(AC20*G10)+(AD20*H10)+(AE20*I10)+(AF20*J10)+(AG20*K10)+(AH20*L10)+(AI20*M10)+(AJ20*N10)+(AK20*O10)+(AL20*P10)+(AM20*Q10))*IF(AA33=1,0.9,1)</f>
        <v>0</v>
      </c>
      <c r="AD31" s="39"/>
      <c r="AE31" s="39"/>
      <c r="AF31" s="79"/>
      <c r="AG31" s="79"/>
      <c r="AH31" s="79"/>
      <c r="AI31" s="79"/>
      <c r="AJ31" s="79"/>
      <c r="AK31" s="79"/>
      <c r="AL31" s="39"/>
      <c r="AM31" s="39"/>
      <c r="AN31" s="39"/>
      <c r="AO31" s="41"/>
      <c r="AP31" s="108"/>
      <c r="AQ31" s="108"/>
    </row>
    <row r="32" spans="1:43" ht="17.25" customHeight="1" thickBot="1" x14ac:dyDescent="0.3">
      <c r="A32" s="106"/>
      <c r="B32" s="38"/>
      <c r="C32" s="207" t="s">
        <v>123</v>
      </c>
      <c r="D32" s="91">
        <f>U118</f>
        <v>0</v>
      </c>
      <c r="E32" s="91">
        <f>U124</f>
        <v>0</v>
      </c>
      <c r="F32" s="208">
        <f>U130</f>
        <v>0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1"/>
      <c r="V32" s="106"/>
      <c r="W32" s="106"/>
      <c r="X32" s="38"/>
      <c r="Y32" s="498"/>
      <c r="Z32" s="383" t="s">
        <v>80</v>
      </c>
      <c r="AA32" s="64">
        <f>-((Z18*D11)+(AA18*E11)+(AB18*F11)+(AC18*G11)+(AD18*H11)+(AE18*I11)+(AF18*J11)+(AG18*K11)+(AH18*L11)+(AI18*M11)+(AJ18*N11)+(AK18*O11)+(AL18*P11)+(AM18*Q11))*IF(AA33=1,0.9,1)</f>
        <v>0</v>
      </c>
      <c r="AB32" s="65">
        <f>-((Z19*D11)+(AA19*E11)+(AB19*F11)+(AC19*G11)+(AD19*H11)+(AE19*I11)+(AF19*J11)+(AG19*K11)+(AH19*L11)+(AI19*M11)+(AJ19*N11)+(AK19*O11)+(AL19*P11)+(AM19*Q11))*IF(AA33=1,0.9,1)</f>
        <v>0</v>
      </c>
      <c r="AC32" s="66">
        <f>-((Z20*D11)+(AA20*E11)+(AB20*F11)+(AC20*G11)+(AD20*H11)+(AE20*I11)+(AF20*J11)+(AG20*K11)+(AH20*L11)+(AI20*M11)+(AJ20*N11)+(AK20*O11)+(AL20*P11)+(AM20*Q11))*IF(AA33=1,0.9,1)</f>
        <v>0</v>
      </c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41"/>
      <c r="AP32" s="108"/>
      <c r="AQ32" s="108"/>
    </row>
    <row r="33" spans="1:43" ht="17.25" customHeight="1" thickBot="1" x14ac:dyDescent="0.3">
      <c r="A33" s="106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1"/>
      <c r="V33" s="106"/>
      <c r="W33" s="106"/>
      <c r="X33" s="38"/>
      <c r="Y33" s="67"/>
      <c r="Z33" s="68" t="s">
        <v>82</v>
      </c>
      <c r="AA33" s="222">
        <v>0</v>
      </c>
      <c r="AB33" s="69"/>
      <c r="AC33" s="6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41"/>
      <c r="AP33" s="108"/>
      <c r="AQ33" s="108"/>
    </row>
    <row r="34" spans="1:43" ht="17.25" customHeight="1" thickBot="1" x14ac:dyDescent="0.3">
      <c r="A34" s="106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95"/>
      <c r="R34" s="95"/>
      <c r="S34" s="95"/>
      <c r="T34" s="95"/>
      <c r="U34" s="98"/>
      <c r="V34" s="106"/>
      <c r="W34" s="106"/>
      <c r="X34" s="38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41"/>
      <c r="AP34" s="108"/>
      <c r="AQ34" s="108"/>
    </row>
    <row r="35" spans="1:43" s="33" customFormat="1" ht="17.25" customHeight="1" thickBot="1" x14ac:dyDescent="0.3">
      <c r="A35" s="106"/>
      <c r="B35" s="38"/>
      <c r="C35" s="39"/>
      <c r="D35" s="96"/>
      <c r="E35" s="96"/>
      <c r="F35" s="96"/>
      <c r="G35" s="96"/>
      <c r="H35" s="96"/>
      <c r="I35" s="39"/>
      <c r="J35" s="96"/>
      <c r="K35" s="39"/>
      <c r="L35" s="39"/>
      <c r="M35" s="39"/>
      <c r="N35" s="39"/>
      <c r="O35" s="39"/>
      <c r="P35" s="39"/>
      <c r="Q35" s="95"/>
      <c r="R35" s="95"/>
      <c r="S35" s="95"/>
      <c r="T35" s="95"/>
      <c r="U35" s="98"/>
      <c r="V35" s="106"/>
      <c r="W35" s="106"/>
      <c r="X35" s="38"/>
      <c r="Y35" s="604" t="s">
        <v>179</v>
      </c>
      <c r="Z35" s="421"/>
      <c r="AA35" s="422" t="s">
        <v>177</v>
      </c>
      <c r="AB35" s="423" t="s">
        <v>151</v>
      </c>
      <c r="AC35" s="423" t="s">
        <v>152</v>
      </c>
      <c r="AD35" s="424" t="s">
        <v>178</v>
      </c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1"/>
      <c r="AP35" s="108"/>
      <c r="AQ35" s="108"/>
    </row>
    <row r="36" spans="1:43" ht="17.25" customHeight="1" x14ac:dyDescent="0.25">
      <c r="A36" s="106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1"/>
      <c r="V36" s="106"/>
      <c r="W36" s="106"/>
      <c r="X36" s="38"/>
      <c r="Y36" s="605"/>
      <c r="Z36" s="403">
        <f>AA27</f>
        <v>0</v>
      </c>
      <c r="AA36" s="419">
        <f>TRUNC(Z36/24,0)</f>
        <v>0</v>
      </c>
      <c r="AB36" s="417">
        <f>TRUNC(Z36-AA36*24,0)</f>
        <v>0</v>
      </c>
      <c r="AC36" s="417">
        <f>TRUNC((Z36-(AA36*24+AB36))*60,0)</f>
        <v>0</v>
      </c>
      <c r="AD36" s="418">
        <f>TRUNC(((Z36-(AA36*24+AB36))*60-AC36)*60,0)</f>
        <v>0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41"/>
      <c r="AP36" s="108"/>
      <c r="AQ36" s="108"/>
    </row>
    <row r="37" spans="1:43" ht="17.25" customHeight="1" x14ac:dyDescent="0.25">
      <c r="A37" s="106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1"/>
      <c r="V37" s="106"/>
      <c r="W37" s="106"/>
      <c r="X37" s="38"/>
      <c r="Y37" s="605"/>
      <c r="Z37" s="411">
        <f>AB27</f>
        <v>0</v>
      </c>
      <c r="AA37" s="412">
        <f t="shared" ref="AA37:AA38" si="5">TRUNC(Z37/24,0)</f>
        <v>0</v>
      </c>
      <c r="AB37" s="413">
        <f t="shared" ref="AB37:AB38" si="6">TRUNC(Z37-AA37*24,0)</f>
        <v>0</v>
      </c>
      <c r="AC37" s="413">
        <f t="shared" ref="AC37:AC38" si="7">TRUNC((Z37-(AA37*24+AB37))*60,0)</f>
        <v>0</v>
      </c>
      <c r="AD37" s="414">
        <f t="shared" ref="AD37:AD38" si="8">TRUNC(((Z37-(AA37*24+AB37))*60-AC37)*60,0)</f>
        <v>0</v>
      </c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41"/>
      <c r="AP37" s="108"/>
      <c r="AQ37" s="108"/>
    </row>
    <row r="38" spans="1:43" ht="17.25" customHeight="1" thickBot="1" x14ac:dyDescent="0.3">
      <c r="A38" s="106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1"/>
      <c r="V38" s="106"/>
      <c r="W38" s="106"/>
      <c r="X38" s="38"/>
      <c r="Y38" s="606"/>
      <c r="Z38" s="404">
        <f>AC27</f>
        <v>0</v>
      </c>
      <c r="AA38" s="409">
        <f t="shared" si="5"/>
        <v>0</v>
      </c>
      <c r="AB38" s="188">
        <f t="shared" si="6"/>
        <v>0</v>
      </c>
      <c r="AC38" s="188">
        <f t="shared" si="7"/>
        <v>0</v>
      </c>
      <c r="AD38" s="189">
        <f t="shared" si="8"/>
        <v>0</v>
      </c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41"/>
      <c r="AP38" s="108"/>
      <c r="AQ38" s="108"/>
    </row>
    <row r="39" spans="1:43" ht="17.25" customHeight="1" x14ac:dyDescent="0.25">
      <c r="A39" s="106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1"/>
      <c r="V39" s="106"/>
      <c r="W39" s="106"/>
      <c r="X39" s="38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1"/>
      <c r="AP39" s="108"/>
      <c r="AQ39" s="108"/>
    </row>
    <row r="40" spans="1:43" ht="17.25" customHeight="1" thickBot="1" x14ac:dyDescent="0.3">
      <c r="A40" s="106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1"/>
      <c r="V40" s="106"/>
      <c r="W40" s="106"/>
      <c r="X40" s="70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2"/>
      <c r="AP40" s="108"/>
      <c r="AQ40" s="108"/>
    </row>
    <row r="41" spans="1:43" ht="17.25" customHeight="1" thickTop="1" thickBot="1" x14ac:dyDescent="0.3">
      <c r="A41" s="106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2"/>
      <c r="V41" s="106"/>
      <c r="W41" s="106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</row>
    <row r="42" spans="1:43" ht="17.25" customHeight="1" thickTop="1" thickBot="1" x14ac:dyDescent="0.3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8"/>
      <c r="S42" s="106"/>
      <c r="T42" s="106"/>
      <c r="U42" s="106"/>
      <c r="V42" s="106"/>
      <c r="W42" s="106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</row>
    <row r="43" spans="1:43" ht="17.25" customHeight="1" thickBot="1" x14ac:dyDescent="0.3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8"/>
      <c r="S43" s="106"/>
      <c r="T43" s="106"/>
      <c r="U43" s="111"/>
      <c r="V43" s="106"/>
      <c r="W43" s="106"/>
      <c r="X43" s="559" t="s">
        <v>108</v>
      </c>
      <c r="Y43" s="561"/>
      <c r="Z43" s="560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</row>
    <row r="44" spans="1:43" ht="17.25" customHeight="1" thickTop="1" thickBot="1" x14ac:dyDescent="0.3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8"/>
      <c r="S44" s="106"/>
      <c r="T44" s="106"/>
      <c r="U44" s="106"/>
      <c r="V44" s="106"/>
      <c r="W44" s="106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7"/>
      <c r="AP44" s="108"/>
      <c r="AQ44" s="108"/>
    </row>
    <row r="45" spans="1:43" ht="17.25" customHeight="1" thickBot="1" x14ac:dyDescent="0.3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8"/>
      <c r="S45" s="106"/>
      <c r="T45" s="106"/>
      <c r="U45" s="106"/>
      <c r="V45" s="106"/>
      <c r="W45" s="106"/>
      <c r="X45" s="38"/>
      <c r="Y45" s="592" t="s">
        <v>107</v>
      </c>
      <c r="Z45" s="594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41"/>
      <c r="AP45" s="108"/>
      <c r="AQ45" s="108"/>
    </row>
    <row r="46" spans="1:43" ht="17.25" customHeight="1" thickBot="1" x14ac:dyDescent="0.3">
      <c r="A46" s="106"/>
      <c r="B46" s="106"/>
      <c r="C46" s="531" t="s">
        <v>39</v>
      </c>
      <c r="D46" s="543" t="s">
        <v>40</v>
      </c>
      <c r="E46" s="543" t="s">
        <v>43</v>
      </c>
      <c r="F46" s="543" t="s">
        <v>41</v>
      </c>
      <c r="G46" s="545" t="s">
        <v>42</v>
      </c>
      <c r="H46" s="106"/>
      <c r="I46" s="105"/>
      <c r="J46" s="105"/>
      <c r="K46" s="106"/>
      <c r="L46" s="106"/>
      <c r="M46" s="106"/>
      <c r="N46" s="106"/>
      <c r="O46" s="106"/>
      <c r="P46" s="106"/>
      <c r="Q46" s="106"/>
      <c r="R46" s="108"/>
      <c r="S46" s="106"/>
      <c r="T46" s="106"/>
      <c r="U46" s="106"/>
      <c r="V46" s="106"/>
      <c r="W46" s="106"/>
      <c r="X46" s="38"/>
      <c r="Y46" s="128"/>
      <c r="Z46" s="129">
        <v>1</v>
      </c>
      <c r="AA46" s="100">
        <f>Z46+1</f>
        <v>2</v>
      </c>
      <c r="AB46" s="100">
        <f t="shared" ref="AB46:AM46" si="9">AA46+1</f>
        <v>3</v>
      </c>
      <c r="AC46" s="100">
        <f t="shared" si="9"/>
        <v>4</v>
      </c>
      <c r="AD46" s="100">
        <f t="shared" si="9"/>
        <v>5</v>
      </c>
      <c r="AE46" s="100">
        <f t="shared" si="9"/>
        <v>6</v>
      </c>
      <c r="AF46" s="100">
        <f t="shared" si="9"/>
        <v>7</v>
      </c>
      <c r="AG46" s="100">
        <f t="shared" si="9"/>
        <v>8</v>
      </c>
      <c r="AH46" s="100">
        <f t="shared" si="9"/>
        <v>9</v>
      </c>
      <c r="AI46" s="100">
        <f t="shared" si="9"/>
        <v>10</v>
      </c>
      <c r="AJ46" s="100">
        <f t="shared" si="9"/>
        <v>11</v>
      </c>
      <c r="AK46" s="100">
        <f t="shared" si="9"/>
        <v>12</v>
      </c>
      <c r="AL46" s="100">
        <f t="shared" si="9"/>
        <v>13</v>
      </c>
      <c r="AM46" s="45">
        <f t="shared" si="9"/>
        <v>14</v>
      </c>
      <c r="AN46" s="298"/>
      <c r="AO46" s="41"/>
      <c r="AP46" s="108"/>
      <c r="AQ46" s="108"/>
    </row>
    <row r="47" spans="1:43" ht="17.25" customHeight="1" thickBot="1" x14ac:dyDescent="0.3">
      <c r="A47" s="106"/>
      <c r="B47" s="106"/>
      <c r="C47" s="541"/>
      <c r="D47" s="544"/>
      <c r="E47" s="544"/>
      <c r="F47" s="544"/>
      <c r="G47" s="546"/>
      <c r="H47" s="106"/>
      <c r="I47" s="105"/>
      <c r="J47" s="105"/>
      <c r="K47" s="106"/>
      <c r="L47" s="106"/>
      <c r="M47" s="106"/>
      <c r="N47" s="106"/>
      <c r="O47" s="106"/>
      <c r="P47" s="106"/>
      <c r="Q47" s="106"/>
      <c r="R47" s="108"/>
      <c r="S47" s="106"/>
      <c r="T47" s="106"/>
      <c r="U47" s="106"/>
      <c r="V47" s="106"/>
      <c r="W47" s="106"/>
      <c r="X47" s="38"/>
      <c r="Y47" s="56" t="s">
        <v>95</v>
      </c>
      <c r="Z47" s="130" t="s">
        <v>9</v>
      </c>
      <c r="AA47" s="131" t="s">
        <v>97</v>
      </c>
      <c r="AB47" s="131" t="s">
        <v>6</v>
      </c>
      <c r="AC47" s="131" t="s">
        <v>91</v>
      </c>
      <c r="AD47" s="131" t="s">
        <v>17</v>
      </c>
      <c r="AE47" s="131" t="s">
        <v>12</v>
      </c>
      <c r="AF47" s="131" t="s">
        <v>11</v>
      </c>
      <c r="AG47" s="131" t="s">
        <v>19</v>
      </c>
      <c r="AH47" s="131" t="s">
        <v>13</v>
      </c>
      <c r="AI47" s="131" t="s">
        <v>15</v>
      </c>
      <c r="AJ47" s="131" t="s">
        <v>10</v>
      </c>
      <c r="AK47" s="131" t="s">
        <v>16</v>
      </c>
      <c r="AL47" s="131" t="s">
        <v>8</v>
      </c>
      <c r="AM47" s="132" t="s">
        <v>14</v>
      </c>
      <c r="AN47" s="298"/>
      <c r="AO47" s="41"/>
      <c r="AP47" s="108"/>
      <c r="AQ47" s="108"/>
    </row>
    <row r="48" spans="1:43" ht="17.25" customHeight="1" thickBot="1" x14ac:dyDescent="0.3">
      <c r="A48" s="106"/>
      <c r="B48" s="106"/>
      <c r="C48" s="532"/>
      <c r="D48" s="544"/>
      <c r="E48" s="544"/>
      <c r="F48" s="544"/>
      <c r="G48" s="546"/>
      <c r="H48" s="106"/>
      <c r="I48" s="105"/>
      <c r="J48" s="105"/>
      <c r="K48" s="106"/>
      <c r="L48" s="106"/>
      <c r="M48" s="106"/>
      <c r="N48" s="106"/>
      <c r="O48" s="106"/>
      <c r="P48" s="106"/>
      <c r="Q48" s="106"/>
      <c r="R48" s="108"/>
      <c r="S48" s="106"/>
      <c r="T48" s="106"/>
      <c r="U48" s="106"/>
      <c r="V48" s="106"/>
      <c r="W48" s="106"/>
      <c r="X48" s="38"/>
      <c r="Y48" s="298"/>
      <c r="Z48" s="592" t="s">
        <v>130</v>
      </c>
      <c r="AA48" s="593"/>
      <c r="AB48" s="593"/>
      <c r="AC48" s="593"/>
      <c r="AD48" s="593"/>
      <c r="AE48" s="594"/>
      <c r="AF48" s="298"/>
      <c r="AG48" s="592" t="s">
        <v>128</v>
      </c>
      <c r="AH48" s="607"/>
      <c r="AI48" s="607"/>
      <c r="AJ48" s="607"/>
      <c r="AK48" s="607"/>
      <c r="AL48" s="594"/>
      <c r="AM48" s="298"/>
      <c r="AN48" s="298"/>
      <c r="AO48" s="41"/>
      <c r="AP48" s="108"/>
      <c r="AQ48" s="108"/>
    </row>
    <row r="49" spans="1:43" ht="17.25" customHeight="1" thickBot="1" x14ac:dyDescent="0.3">
      <c r="A49" s="106"/>
      <c r="B49" s="106"/>
      <c r="C49" s="112"/>
      <c r="D49" s="113">
        <f>SUM(D25:F25)</f>
        <v>30540</v>
      </c>
      <c r="E49" s="114">
        <f>IF(D49&gt;0,D25/D49,0)</f>
        <v>0.35658153241650292</v>
      </c>
      <c r="F49" s="114">
        <f>IF(D49&gt;0,E25/D49,0)</f>
        <v>0.31958087753765552</v>
      </c>
      <c r="G49" s="115">
        <f>IF(D49&gt;0,F25/D49,0)</f>
        <v>0.32383759004584151</v>
      </c>
      <c r="H49" s="106"/>
      <c r="I49" s="105"/>
      <c r="J49" s="105"/>
      <c r="K49" s="106"/>
      <c r="L49" s="106"/>
      <c r="M49" s="106"/>
      <c r="N49" s="106"/>
      <c r="O49" s="106"/>
      <c r="P49" s="106"/>
      <c r="Q49" s="106"/>
      <c r="R49" s="108"/>
      <c r="S49" s="106"/>
      <c r="T49" s="106"/>
      <c r="U49" s="106"/>
      <c r="V49" s="106"/>
      <c r="W49" s="106"/>
      <c r="X49" s="38"/>
      <c r="Y49" s="496" t="s">
        <v>98</v>
      </c>
      <c r="Z49" s="286" t="s">
        <v>87</v>
      </c>
      <c r="AA49" s="249" t="s">
        <v>6</v>
      </c>
      <c r="AB49" s="250" t="s">
        <v>12</v>
      </c>
      <c r="AC49" s="272" t="s">
        <v>93</v>
      </c>
      <c r="AD49" s="251" t="s">
        <v>91</v>
      </c>
      <c r="AE49" s="298"/>
      <c r="AF49" s="496" t="s">
        <v>98</v>
      </c>
      <c r="AG49" s="285" t="s">
        <v>87</v>
      </c>
      <c r="AH49" s="134" t="s">
        <v>91</v>
      </c>
      <c r="AI49" s="278" t="s">
        <v>12</v>
      </c>
      <c r="AJ49" s="278" t="s">
        <v>6</v>
      </c>
      <c r="AK49" s="278" t="s">
        <v>93</v>
      </c>
      <c r="AL49" s="298"/>
      <c r="AM49" s="298"/>
      <c r="AN49" s="298"/>
      <c r="AO49" s="41"/>
      <c r="AP49" s="108"/>
      <c r="AQ49" s="108"/>
    </row>
    <row r="50" spans="1:43" ht="17.25" customHeight="1" thickBot="1" x14ac:dyDescent="0.3">
      <c r="A50" s="106"/>
      <c r="B50" s="106"/>
      <c r="C50" s="104"/>
      <c r="D50" s="104"/>
      <c r="E50" s="104"/>
      <c r="F50" s="104"/>
      <c r="G50" s="104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8"/>
      <c r="S50" s="106"/>
      <c r="T50" s="106"/>
      <c r="U50" s="106"/>
      <c r="V50" s="106"/>
      <c r="W50" s="106"/>
      <c r="X50" s="38"/>
      <c r="Y50" s="497"/>
      <c r="Z50" s="60" t="s">
        <v>99</v>
      </c>
      <c r="AA50" s="283" t="s">
        <v>97</v>
      </c>
      <c r="AB50" s="279" t="s">
        <v>11</v>
      </c>
      <c r="AC50" s="272" t="s">
        <v>19</v>
      </c>
      <c r="AD50" s="234" t="s">
        <v>13</v>
      </c>
      <c r="AE50" s="133" t="s">
        <v>16</v>
      </c>
      <c r="AF50" s="497"/>
      <c r="AG50" s="60" t="s">
        <v>99</v>
      </c>
      <c r="AH50" s="283" t="s">
        <v>19</v>
      </c>
      <c r="AI50" s="279" t="s">
        <v>97</v>
      </c>
      <c r="AJ50" s="279" t="s">
        <v>11</v>
      </c>
      <c r="AK50" s="279" t="s">
        <v>13</v>
      </c>
      <c r="AL50" s="287" t="s">
        <v>16</v>
      </c>
      <c r="AM50" s="298"/>
      <c r="AN50" s="298"/>
      <c r="AO50" s="41"/>
      <c r="AP50" s="108"/>
      <c r="AQ50" s="220"/>
    </row>
    <row r="51" spans="1:43" ht="17.25" customHeight="1" thickBot="1" x14ac:dyDescent="0.3">
      <c r="A51" s="106"/>
      <c r="B51" s="106"/>
      <c r="C51" s="538" t="s">
        <v>45</v>
      </c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40"/>
      <c r="U51" s="106"/>
      <c r="V51" s="106"/>
      <c r="W51" s="106"/>
      <c r="X51" s="38"/>
      <c r="Y51" s="498"/>
      <c r="Z51" s="276" t="s">
        <v>88</v>
      </c>
      <c r="AA51" s="281" t="s">
        <v>9</v>
      </c>
      <c r="AB51" s="91" t="s">
        <v>100</v>
      </c>
      <c r="AC51" s="91" t="s">
        <v>15</v>
      </c>
      <c r="AD51" s="91" t="s">
        <v>10</v>
      </c>
      <c r="AE51" s="280" t="s">
        <v>14</v>
      </c>
      <c r="AF51" s="498"/>
      <c r="AG51" s="276" t="s">
        <v>88</v>
      </c>
      <c r="AH51" s="281" t="s">
        <v>9</v>
      </c>
      <c r="AI51" s="91" t="s">
        <v>100</v>
      </c>
      <c r="AJ51" s="91" t="s">
        <v>15</v>
      </c>
      <c r="AK51" s="91" t="s">
        <v>10</v>
      </c>
      <c r="AL51" s="289" t="s">
        <v>14</v>
      </c>
      <c r="AM51" s="298"/>
      <c r="AN51" s="298"/>
      <c r="AO51" s="41"/>
      <c r="AP51" s="108"/>
      <c r="AQ51" s="108"/>
    </row>
    <row r="52" spans="1:43" ht="17.25" customHeight="1" thickBot="1" x14ac:dyDescent="0.3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8"/>
      <c r="S52" s="106"/>
      <c r="T52" s="106"/>
      <c r="U52" s="106"/>
      <c r="V52" s="106"/>
      <c r="W52" s="106"/>
      <c r="X52" s="38"/>
      <c r="Y52" s="592" t="s">
        <v>96</v>
      </c>
      <c r="Z52" s="594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41"/>
      <c r="AP52" s="108"/>
      <c r="AQ52" s="108"/>
    </row>
    <row r="53" spans="1:43" ht="17.25" customHeight="1" thickBot="1" x14ac:dyDescent="0.3">
      <c r="A53" s="106"/>
      <c r="B53" s="527" t="s">
        <v>49</v>
      </c>
      <c r="C53" s="528"/>
      <c r="D53" s="8" t="s">
        <v>8</v>
      </c>
      <c r="E53" s="12" t="s">
        <v>9</v>
      </c>
      <c r="F53" s="12" t="s">
        <v>10</v>
      </c>
      <c r="G53" s="12" t="s">
        <v>11</v>
      </c>
      <c r="H53" s="12" t="s">
        <v>12</v>
      </c>
      <c r="I53" s="12" t="s">
        <v>13</v>
      </c>
      <c r="J53" s="12" t="s">
        <v>14</v>
      </c>
      <c r="K53" s="12" t="s">
        <v>6</v>
      </c>
      <c r="L53" s="12" t="s">
        <v>7</v>
      </c>
      <c r="M53" s="12" t="s">
        <v>15</v>
      </c>
      <c r="N53" s="12" t="s">
        <v>16</v>
      </c>
      <c r="O53" s="12" t="s">
        <v>17</v>
      </c>
      <c r="P53" s="27" t="s">
        <v>18</v>
      </c>
      <c r="Q53" s="14" t="s">
        <v>19</v>
      </c>
      <c r="R53" s="152" t="s">
        <v>113</v>
      </c>
      <c r="S53" s="529" t="s">
        <v>5</v>
      </c>
      <c r="T53" s="517"/>
      <c r="U53" s="24" t="s">
        <v>51</v>
      </c>
      <c r="V53" s="106"/>
      <c r="W53" s="106"/>
      <c r="X53" s="38"/>
      <c r="Y53" s="275" t="s">
        <v>75</v>
      </c>
      <c r="Z53" s="134" t="s">
        <v>11</v>
      </c>
      <c r="AA53" s="278" t="s">
        <v>9</v>
      </c>
      <c r="AB53" s="278" t="s">
        <v>17</v>
      </c>
      <c r="AC53" s="278" t="s">
        <v>90</v>
      </c>
      <c r="AD53" s="278" t="s">
        <v>19</v>
      </c>
      <c r="AE53" s="278" t="s">
        <v>13</v>
      </c>
      <c r="AF53" s="278" t="s">
        <v>12</v>
      </c>
      <c r="AG53" s="278" t="s">
        <v>7</v>
      </c>
      <c r="AH53" s="278" t="s">
        <v>91</v>
      </c>
      <c r="AI53" s="278" t="s">
        <v>15</v>
      </c>
      <c r="AJ53" s="278" t="s">
        <v>14</v>
      </c>
      <c r="AK53" s="278" t="s">
        <v>92</v>
      </c>
      <c r="AL53" s="278" t="s">
        <v>8</v>
      </c>
      <c r="AM53" s="287" t="s">
        <v>16</v>
      </c>
      <c r="AN53" s="298"/>
      <c r="AO53" s="41"/>
      <c r="AP53" s="108"/>
      <c r="AQ53" s="108"/>
    </row>
    <row r="54" spans="1:43" ht="17.850000000000001" customHeight="1" x14ac:dyDescent="0.25">
      <c r="A54" s="106"/>
      <c r="B54" s="508" t="s">
        <v>23</v>
      </c>
      <c r="C54" s="9" t="s">
        <v>20</v>
      </c>
      <c r="D54" s="9">
        <f>D5</f>
        <v>0</v>
      </c>
      <c r="E54" s="530"/>
      <c r="F54" s="530"/>
      <c r="G54" s="530"/>
      <c r="H54" s="9">
        <f>H5</f>
        <v>150</v>
      </c>
      <c r="I54" s="530"/>
      <c r="J54" s="530"/>
      <c r="K54" s="9">
        <f>K5</f>
        <v>0</v>
      </c>
      <c r="L54" s="235"/>
      <c r="M54" s="236"/>
      <c r="N54" s="236"/>
      <c r="O54" s="236"/>
      <c r="P54" s="13">
        <f>P5</f>
        <v>0</v>
      </c>
      <c r="Q54" s="236"/>
      <c r="R54" s="237"/>
      <c r="S54" s="517">
        <f>D25</f>
        <v>10890</v>
      </c>
      <c r="T54" s="518"/>
      <c r="U54" s="499">
        <f>S54-S57</f>
        <v>10886.434184675834</v>
      </c>
      <c r="V54" s="106"/>
      <c r="W54" s="106"/>
      <c r="X54" s="38"/>
      <c r="Y54" s="60" t="s">
        <v>76</v>
      </c>
      <c r="Z54" s="596" t="s">
        <v>89</v>
      </c>
      <c r="AA54" s="556"/>
      <c r="AB54" s="279" t="s">
        <v>90</v>
      </c>
      <c r="AC54" s="279" t="s">
        <v>91</v>
      </c>
      <c r="AD54" s="279" t="s">
        <v>15</v>
      </c>
      <c r="AE54" s="279" t="s">
        <v>12</v>
      </c>
      <c r="AF54" s="279" t="s">
        <v>7</v>
      </c>
      <c r="AG54" s="279" t="s">
        <v>16</v>
      </c>
      <c r="AH54" s="279" t="s">
        <v>9</v>
      </c>
      <c r="AI54" s="279" t="s">
        <v>11</v>
      </c>
      <c r="AJ54" s="279" t="s">
        <v>17</v>
      </c>
      <c r="AK54" s="279" t="s">
        <v>13</v>
      </c>
      <c r="AL54" s="279" t="s">
        <v>19</v>
      </c>
      <c r="AM54" s="288" t="s">
        <v>14</v>
      </c>
      <c r="AN54" s="298"/>
      <c r="AO54" s="41"/>
      <c r="AP54" s="108"/>
      <c r="AQ54" s="108"/>
    </row>
    <row r="55" spans="1:43" ht="17.850000000000001" customHeight="1" thickBot="1" x14ac:dyDescent="0.3">
      <c r="A55" s="106"/>
      <c r="B55" s="509"/>
      <c r="C55" s="10" t="s">
        <v>48</v>
      </c>
      <c r="D55" s="19">
        <f>IF(D54=0,0,IF($U$54&gt;0,-D54*($S$57/$S$54)^1.2,-D54))</f>
        <v>0</v>
      </c>
      <c r="E55" s="512"/>
      <c r="F55" s="512"/>
      <c r="G55" s="512"/>
      <c r="H55" s="19">
        <f>IF(H54=0,0,IF($U$54&gt;0,-H54*($S$57/$S$54)^1.2,-H54))</f>
        <v>-9.8684380648180504E-3</v>
      </c>
      <c r="I55" s="512"/>
      <c r="J55" s="512"/>
      <c r="K55" s="19">
        <f>IF(K54=0,0,IF($U$54&gt;0,-K54*($S$57/$S$54)^1.2,-K54))</f>
        <v>0</v>
      </c>
      <c r="L55" s="238"/>
      <c r="M55" s="239"/>
      <c r="N55" s="239"/>
      <c r="O55" s="239"/>
      <c r="P55" s="19">
        <f>IF(P54=0,0,IF($U$54&gt;0,-P54*($S$57/$S$54)^1.2,-P54))</f>
        <v>0</v>
      </c>
      <c r="Q55" s="239"/>
      <c r="R55" s="240"/>
      <c r="S55" s="504"/>
      <c r="T55" s="505"/>
      <c r="U55" s="500"/>
      <c r="V55" s="106"/>
      <c r="W55" s="106"/>
      <c r="X55" s="38"/>
      <c r="Y55" s="276" t="s">
        <v>77</v>
      </c>
      <c r="Z55" s="281" t="s">
        <v>16</v>
      </c>
      <c r="AA55" s="91" t="s">
        <v>9</v>
      </c>
      <c r="AB55" s="91" t="s">
        <v>7</v>
      </c>
      <c r="AC55" s="91" t="s">
        <v>17</v>
      </c>
      <c r="AD55" s="91" t="s">
        <v>15</v>
      </c>
      <c r="AE55" s="91" t="s">
        <v>91</v>
      </c>
      <c r="AF55" s="91" t="s">
        <v>19</v>
      </c>
      <c r="AG55" s="91" t="s">
        <v>13</v>
      </c>
      <c r="AH55" s="91" t="s">
        <v>12</v>
      </c>
      <c r="AI55" s="91" t="s">
        <v>6</v>
      </c>
      <c r="AJ55" s="595" t="s">
        <v>94</v>
      </c>
      <c r="AK55" s="557"/>
      <c r="AL55" s="91" t="s">
        <v>14</v>
      </c>
      <c r="AM55" s="289" t="s">
        <v>93</v>
      </c>
      <c r="AN55" s="298"/>
      <c r="AO55" s="41"/>
      <c r="AP55" s="108"/>
      <c r="AQ55" s="108"/>
    </row>
    <row r="56" spans="1:43" ht="17.850000000000001" customHeight="1" thickBot="1" x14ac:dyDescent="0.3">
      <c r="A56" s="106"/>
      <c r="B56" s="509"/>
      <c r="C56" s="10" t="s">
        <v>44</v>
      </c>
      <c r="D56" s="22">
        <f>D54+D55</f>
        <v>0</v>
      </c>
      <c r="E56" s="512"/>
      <c r="F56" s="512"/>
      <c r="G56" s="512"/>
      <c r="H56" s="22">
        <f>H54+H55</f>
        <v>149.99013156193519</v>
      </c>
      <c r="I56" s="512"/>
      <c r="J56" s="512"/>
      <c r="K56" s="22">
        <f>K54+K55</f>
        <v>0</v>
      </c>
      <c r="L56" s="241"/>
      <c r="M56" s="242"/>
      <c r="N56" s="242"/>
      <c r="O56" s="242"/>
      <c r="P56" s="22">
        <f>P54+P55</f>
        <v>0</v>
      </c>
      <c r="Q56" s="242"/>
      <c r="R56" s="243"/>
      <c r="S56" s="519"/>
      <c r="T56" s="520"/>
      <c r="U56" s="500"/>
      <c r="V56" s="106"/>
      <c r="W56" s="106"/>
      <c r="X56" s="3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41"/>
      <c r="AP56" s="108"/>
      <c r="AQ56" s="108"/>
    </row>
    <row r="57" spans="1:43" ht="17.850000000000001" customHeight="1" thickBot="1" x14ac:dyDescent="0.3">
      <c r="A57" s="106"/>
      <c r="B57" s="509"/>
      <c r="C57" s="10" t="s">
        <v>21</v>
      </c>
      <c r="D57" s="10">
        <f t="shared" ref="D57:J57" si="10">IF($E$49&gt;0,$E$49*D10,0)</f>
        <v>0</v>
      </c>
      <c r="E57" s="18">
        <f t="shared" si="10"/>
        <v>0</v>
      </c>
      <c r="F57" s="18">
        <f t="shared" si="10"/>
        <v>0</v>
      </c>
      <c r="G57" s="18">
        <f t="shared" si="10"/>
        <v>0</v>
      </c>
      <c r="H57" s="18">
        <f t="shared" si="10"/>
        <v>0</v>
      </c>
      <c r="I57" s="18">
        <f t="shared" si="10"/>
        <v>0</v>
      </c>
      <c r="J57" s="18">
        <f t="shared" si="10"/>
        <v>0</v>
      </c>
      <c r="K57" s="18">
        <f t="shared" ref="K57:R57" si="11">IF($E$49&gt;0,$E$49*K10,0)</f>
        <v>0</v>
      </c>
      <c r="L57" s="18">
        <f t="shared" si="11"/>
        <v>0</v>
      </c>
      <c r="M57" s="18">
        <f t="shared" si="11"/>
        <v>0</v>
      </c>
      <c r="N57" s="18">
        <f t="shared" si="11"/>
        <v>0</v>
      </c>
      <c r="O57" s="18">
        <f t="shared" si="11"/>
        <v>0</v>
      </c>
      <c r="P57" s="18">
        <f t="shared" si="11"/>
        <v>0</v>
      </c>
      <c r="Q57" s="155">
        <f t="shared" si="11"/>
        <v>0</v>
      </c>
      <c r="R57" s="155">
        <f t="shared" si="11"/>
        <v>0</v>
      </c>
      <c r="S57" s="502">
        <f>IF(E$49&gt;0,I$25*E$49,0)</f>
        <v>3.5658153241650292</v>
      </c>
      <c r="T57" s="503"/>
      <c r="U57" s="500"/>
      <c r="V57" s="106"/>
      <c r="W57" s="106"/>
      <c r="X57" s="38"/>
      <c r="Y57" s="592" t="s">
        <v>101</v>
      </c>
      <c r="Z57" s="593"/>
      <c r="AA57" s="594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41"/>
      <c r="AP57" s="108"/>
      <c r="AQ57" s="108"/>
    </row>
    <row r="58" spans="1:43" ht="17.850000000000001" customHeight="1" thickBot="1" x14ac:dyDescent="0.3">
      <c r="A58" s="106"/>
      <c r="B58" s="509"/>
      <c r="C58" s="10" t="s">
        <v>48</v>
      </c>
      <c r="D58" s="19">
        <f>IF(D57=0,0,IF($U$54&lt;0,-D57*($S$54/$S$57)^1.2,-D57))</f>
        <v>0</v>
      </c>
      <c r="E58" s="19">
        <f t="shared" ref="E58:R58" si="12">IF(E57=0,0,IF($U$54&lt;0,-E57*($S$54/$S$57)^1.2,-E57))</f>
        <v>0</v>
      </c>
      <c r="F58" s="19">
        <f t="shared" si="12"/>
        <v>0</v>
      </c>
      <c r="G58" s="19">
        <f t="shared" si="12"/>
        <v>0</v>
      </c>
      <c r="H58" s="19">
        <f t="shared" si="12"/>
        <v>0</v>
      </c>
      <c r="I58" s="19">
        <f t="shared" si="12"/>
        <v>0</v>
      </c>
      <c r="J58" s="19">
        <f t="shared" si="12"/>
        <v>0</v>
      </c>
      <c r="K58" s="19">
        <f t="shared" si="12"/>
        <v>0</v>
      </c>
      <c r="L58" s="19">
        <f t="shared" si="12"/>
        <v>0</v>
      </c>
      <c r="M58" s="19">
        <f t="shared" si="12"/>
        <v>0</v>
      </c>
      <c r="N58" s="19">
        <f t="shared" si="12"/>
        <v>0</v>
      </c>
      <c r="O58" s="19">
        <f t="shared" si="12"/>
        <v>0</v>
      </c>
      <c r="P58" s="19">
        <f t="shared" si="12"/>
        <v>0</v>
      </c>
      <c r="Q58" s="153">
        <f t="shared" si="12"/>
        <v>0</v>
      </c>
      <c r="R58" s="153">
        <f t="shared" si="12"/>
        <v>0</v>
      </c>
      <c r="S58" s="504"/>
      <c r="T58" s="505"/>
      <c r="U58" s="500"/>
      <c r="V58" s="106"/>
      <c r="W58" s="106"/>
      <c r="X58" s="38"/>
      <c r="Y58" s="298"/>
      <c r="Z58" s="298"/>
      <c r="AA58" s="277">
        <v>1</v>
      </c>
      <c r="AB58" s="271">
        <f>AA58+1</f>
        <v>2</v>
      </c>
      <c r="AC58" s="271">
        <f t="shared" ref="AC58:AN58" si="13">AB58+1</f>
        <v>3</v>
      </c>
      <c r="AD58" s="271">
        <f t="shared" si="13"/>
        <v>4</v>
      </c>
      <c r="AE58" s="271">
        <f t="shared" si="13"/>
        <v>5</v>
      </c>
      <c r="AF58" s="271">
        <f t="shared" si="13"/>
        <v>6</v>
      </c>
      <c r="AG58" s="271">
        <f t="shared" si="13"/>
        <v>7</v>
      </c>
      <c r="AH58" s="271">
        <f t="shared" si="13"/>
        <v>8</v>
      </c>
      <c r="AI58" s="271">
        <f t="shared" si="13"/>
        <v>9</v>
      </c>
      <c r="AJ58" s="271">
        <f t="shared" si="13"/>
        <v>10</v>
      </c>
      <c r="AK58" s="271">
        <f t="shared" si="13"/>
        <v>11</v>
      </c>
      <c r="AL58" s="271">
        <f t="shared" si="13"/>
        <v>12</v>
      </c>
      <c r="AM58" s="271">
        <f t="shared" si="13"/>
        <v>13</v>
      </c>
      <c r="AN58" s="273">
        <f t="shared" si="13"/>
        <v>14</v>
      </c>
      <c r="AO58" s="41"/>
      <c r="AP58" s="108"/>
      <c r="AQ58" s="108"/>
    </row>
    <row r="59" spans="1:43" ht="17.850000000000001" customHeight="1" thickBot="1" x14ac:dyDescent="0.3">
      <c r="A59" s="106"/>
      <c r="B59" s="510"/>
      <c r="C59" s="11" t="s">
        <v>44</v>
      </c>
      <c r="D59" s="25">
        <f>D57+D58</f>
        <v>0</v>
      </c>
      <c r="E59" s="25">
        <f t="shared" ref="E59:R59" si="14">E57+E58</f>
        <v>0</v>
      </c>
      <c r="F59" s="25">
        <f t="shared" si="14"/>
        <v>0</v>
      </c>
      <c r="G59" s="25">
        <f t="shared" si="14"/>
        <v>0</v>
      </c>
      <c r="H59" s="25">
        <f t="shared" si="14"/>
        <v>0</v>
      </c>
      <c r="I59" s="25">
        <f t="shared" si="14"/>
        <v>0</v>
      </c>
      <c r="J59" s="25">
        <f t="shared" si="14"/>
        <v>0</v>
      </c>
      <c r="K59" s="25">
        <f t="shared" si="14"/>
        <v>0</v>
      </c>
      <c r="L59" s="25">
        <f t="shared" si="14"/>
        <v>0</v>
      </c>
      <c r="M59" s="25">
        <f t="shared" si="14"/>
        <v>0</v>
      </c>
      <c r="N59" s="25">
        <f t="shared" si="14"/>
        <v>0</v>
      </c>
      <c r="O59" s="25">
        <f t="shared" si="14"/>
        <v>0</v>
      </c>
      <c r="P59" s="25">
        <f t="shared" si="14"/>
        <v>0</v>
      </c>
      <c r="Q59" s="156">
        <f t="shared" si="14"/>
        <v>0</v>
      </c>
      <c r="R59" s="156">
        <f t="shared" si="14"/>
        <v>0</v>
      </c>
      <c r="S59" s="506"/>
      <c r="T59" s="507"/>
      <c r="U59" s="501"/>
      <c r="V59" s="106"/>
      <c r="W59" s="106"/>
      <c r="X59" s="38"/>
      <c r="Y59" s="493" t="s">
        <v>23</v>
      </c>
      <c r="Z59" s="252" t="s">
        <v>130</v>
      </c>
      <c r="AA59" s="270" t="s">
        <v>16</v>
      </c>
      <c r="AB59" s="278" t="s">
        <v>6</v>
      </c>
      <c r="AC59" s="278" t="s">
        <v>17</v>
      </c>
      <c r="AD59" s="278" t="s">
        <v>19</v>
      </c>
      <c r="AE59" s="278" t="s">
        <v>11</v>
      </c>
      <c r="AF59" s="278" t="s">
        <v>13</v>
      </c>
      <c r="AG59" s="278" t="s">
        <v>93</v>
      </c>
      <c r="AH59" s="278" t="s">
        <v>15</v>
      </c>
      <c r="AI59" s="278" t="s">
        <v>9</v>
      </c>
      <c r="AJ59" s="278" t="s">
        <v>91</v>
      </c>
      <c r="AK59" s="278" t="s">
        <v>10</v>
      </c>
      <c r="AL59" s="278" t="s">
        <v>12</v>
      </c>
      <c r="AM59" s="278" t="s">
        <v>7</v>
      </c>
      <c r="AN59" s="287" t="s">
        <v>14</v>
      </c>
      <c r="AO59" s="41"/>
      <c r="AP59" s="108"/>
      <c r="AQ59" s="108"/>
    </row>
    <row r="60" spans="1:43" ht="17.850000000000001" customHeight="1" thickBot="1" x14ac:dyDescent="0.3">
      <c r="A60" s="106"/>
      <c r="B60" s="508" t="s">
        <v>24</v>
      </c>
      <c r="C60" s="13" t="s">
        <v>20</v>
      </c>
      <c r="D60" s="511"/>
      <c r="E60" s="511"/>
      <c r="F60" s="511"/>
      <c r="G60" s="13">
        <f>G5</f>
        <v>120</v>
      </c>
      <c r="H60" s="511"/>
      <c r="I60" s="13">
        <f>I5</f>
        <v>140</v>
      </c>
      <c r="J60" s="511"/>
      <c r="K60" s="511"/>
      <c r="L60" s="13">
        <f>L5</f>
        <v>0</v>
      </c>
      <c r="M60" s="513"/>
      <c r="N60" s="13">
        <f>N5</f>
        <v>0</v>
      </c>
      <c r="O60" s="521"/>
      <c r="P60" s="522"/>
      <c r="Q60" s="101">
        <f>Q5</f>
        <v>0</v>
      </c>
      <c r="R60" s="515"/>
      <c r="S60" s="517">
        <f>E25</f>
        <v>9760</v>
      </c>
      <c r="T60" s="518"/>
      <c r="U60" s="499">
        <f>S60-S63</f>
        <v>9756.8041912246226</v>
      </c>
      <c r="V60" s="106"/>
      <c r="W60" s="106"/>
      <c r="X60" s="38"/>
      <c r="Y60" s="597"/>
      <c r="Z60" s="253" t="s">
        <v>128</v>
      </c>
      <c r="AA60" s="256" t="s">
        <v>16</v>
      </c>
      <c r="AB60" s="284" t="s">
        <v>19</v>
      </c>
      <c r="AC60" s="284" t="s">
        <v>17</v>
      </c>
      <c r="AD60" s="284" t="s">
        <v>6</v>
      </c>
      <c r="AE60" s="284" t="s">
        <v>13</v>
      </c>
      <c r="AF60" s="284" t="s">
        <v>11</v>
      </c>
      <c r="AG60" s="284" t="s">
        <v>8</v>
      </c>
      <c r="AH60" s="284" t="s">
        <v>15</v>
      </c>
      <c r="AI60" s="284" t="s">
        <v>18</v>
      </c>
      <c r="AJ60" s="284" t="s">
        <v>9</v>
      </c>
      <c r="AK60" s="554" t="s">
        <v>131</v>
      </c>
      <c r="AL60" s="554"/>
      <c r="AM60" s="284" t="s">
        <v>7</v>
      </c>
      <c r="AN60" s="257" t="s">
        <v>14</v>
      </c>
      <c r="AO60" s="41"/>
      <c r="AP60" s="108"/>
      <c r="AQ60" s="108"/>
    </row>
    <row r="61" spans="1:43" ht="17.850000000000001" customHeight="1" x14ac:dyDescent="0.25">
      <c r="A61" s="106"/>
      <c r="B61" s="509"/>
      <c r="C61" s="10" t="s">
        <v>48</v>
      </c>
      <c r="D61" s="512"/>
      <c r="E61" s="512"/>
      <c r="F61" s="512"/>
      <c r="G61" s="19">
        <f>IF(G60=0,0,IF($U$60&gt;0,-G60*($S$63/$S$60)^1.2,-G60))</f>
        <v>-7.89475045185444E-3</v>
      </c>
      <c r="H61" s="512"/>
      <c r="I61" s="19">
        <f>IF(I60=0,0,IF($U$60&gt;0,-I60*($S$63/$S$60)^1.2,-I60))</f>
        <v>-9.2105421938301797E-3</v>
      </c>
      <c r="J61" s="512"/>
      <c r="K61" s="512"/>
      <c r="L61" s="19">
        <f>IF(L60=0,0,IF($U$60&gt;0,-L60*($S$63/$S$60)^1.2,-L60))</f>
        <v>0</v>
      </c>
      <c r="M61" s="514"/>
      <c r="N61" s="19">
        <f>IF(N60=0,0,IF($U$60&gt;0,-N60*($S$63/$S$60)^1.2,-N60))</f>
        <v>0</v>
      </c>
      <c r="O61" s="523"/>
      <c r="P61" s="524"/>
      <c r="Q61" s="153">
        <f>IF(Q60=0,0,IF($U$60&gt;0,-Q60*($S$63/$S$60)^1.2,-Q60))</f>
        <v>0</v>
      </c>
      <c r="R61" s="516"/>
      <c r="S61" s="504"/>
      <c r="T61" s="505"/>
      <c r="U61" s="500"/>
      <c r="V61" s="106"/>
      <c r="W61" s="106"/>
      <c r="X61" s="38"/>
      <c r="Y61" s="598" t="s">
        <v>24</v>
      </c>
      <c r="Z61" s="252" t="s">
        <v>130</v>
      </c>
      <c r="AA61" s="270" t="s">
        <v>15</v>
      </c>
      <c r="AB61" s="278" t="s">
        <v>10</v>
      </c>
      <c r="AC61" s="278" t="s">
        <v>16</v>
      </c>
      <c r="AD61" s="278" t="s">
        <v>19</v>
      </c>
      <c r="AE61" s="278" t="s">
        <v>6</v>
      </c>
      <c r="AF61" s="278" t="s">
        <v>11</v>
      </c>
      <c r="AG61" s="278" t="s">
        <v>93</v>
      </c>
      <c r="AH61" s="278" t="s">
        <v>9</v>
      </c>
      <c r="AI61" s="590" t="s">
        <v>102</v>
      </c>
      <c r="AJ61" s="590"/>
      <c r="AK61" s="278" t="s">
        <v>13</v>
      </c>
      <c r="AL61" s="278" t="s">
        <v>14</v>
      </c>
      <c r="AM61" s="278" t="s">
        <v>12</v>
      </c>
      <c r="AN61" s="287" t="s">
        <v>17</v>
      </c>
      <c r="AO61" s="41"/>
      <c r="AP61" s="108"/>
      <c r="AQ61" s="108"/>
    </row>
    <row r="62" spans="1:43" ht="17.850000000000001" customHeight="1" thickBot="1" x14ac:dyDescent="0.3">
      <c r="A62" s="106"/>
      <c r="B62" s="509"/>
      <c r="C62" s="10" t="s">
        <v>44</v>
      </c>
      <c r="D62" s="512"/>
      <c r="E62" s="512"/>
      <c r="F62" s="512"/>
      <c r="G62" s="22">
        <f>G60+G61</f>
        <v>119.99210524954815</v>
      </c>
      <c r="H62" s="512"/>
      <c r="I62" s="22">
        <f>I60+I61</f>
        <v>139.99078945780616</v>
      </c>
      <c r="J62" s="512"/>
      <c r="K62" s="512"/>
      <c r="L62" s="22">
        <f>L60+L61</f>
        <v>0</v>
      </c>
      <c r="M62" s="514"/>
      <c r="N62" s="22">
        <f>N60+N61</f>
        <v>0</v>
      </c>
      <c r="O62" s="525"/>
      <c r="P62" s="526"/>
      <c r="Q62" s="154">
        <f>Q60+Q61</f>
        <v>0</v>
      </c>
      <c r="R62" s="511"/>
      <c r="S62" s="519"/>
      <c r="T62" s="520"/>
      <c r="U62" s="500"/>
      <c r="V62" s="106"/>
      <c r="W62" s="106"/>
      <c r="X62" s="38"/>
      <c r="Y62" s="597"/>
      <c r="Z62" s="253" t="s">
        <v>128</v>
      </c>
      <c r="AA62" s="256" t="s">
        <v>15</v>
      </c>
      <c r="AB62" s="284" t="s">
        <v>10</v>
      </c>
      <c r="AC62" s="284" t="s">
        <v>19</v>
      </c>
      <c r="AD62" s="284" t="s">
        <v>16</v>
      </c>
      <c r="AE62" s="284" t="s">
        <v>11</v>
      </c>
      <c r="AF62" s="284" t="s">
        <v>6</v>
      </c>
      <c r="AG62" s="554" t="s">
        <v>132</v>
      </c>
      <c r="AH62" s="554"/>
      <c r="AI62" s="554" t="s">
        <v>102</v>
      </c>
      <c r="AJ62" s="554"/>
      <c r="AK62" s="284" t="s">
        <v>13</v>
      </c>
      <c r="AL62" s="284" t="s">
        <v>14</v>
      </c>
      <c r="AM62" s="284" t="s">
        <v>12</v>
      </c>
      <c r="AN62" s="257" t="s">
        <v>17</v>
      </c>
      <c r="AO62" s="41"/>
      <c r="AP62" s="108"/>
      <c r="AQ62" s="108"/>
    </row>
    <row r="63" spans="1:43" ht="17.850000000000001" customHeight="1" x14ac:dyDescent="0.25">
      <c r="A63" s="106"/>
      <c r="B63" s="509"/>
      <c r="C63" s="10" t="s">
        <v>21</v>
      </c>
      <c r="D63" s="10">
        <f t="shared" ref="D63:J63" si="15">IF($F$49&gt;0,$F$49*D10,0)</f>
        <v>0</v>
      </c>
      <c r="E63" s="18">
        <f t="shared" si="15"/>
        <v>0</v>
      </c>
      <c r="F63" s="18">
        <f t="shared" si="15"/>
        <v>0</v>
      </c>
      <c r="G63" s="18">
        <f t="shared" si="15"/>
        <v>0</v>
      </c>
      <c r="H63" s="18">
        <f t="shared" si="15"/>
        <v>0</v>
      </c>
      <c r="I63" s="18">
        <f t="shared" si="15"/>
        <v>0</v>
      </c>
      <c r="J63" s="18">
        <f t="shared" si="15"/>
        <v>0</v>
      </c>
      <c r="K63" s="18">
        <f t="shared" ref="K63:R63" si="16">IF($F$49&gt;0,$F$49*K10,0)</f>
        <v>0</v>
      </c>
      <c r="L63" s="18">
        <f t="shared" si="16"/>
        <v>0</v>
      </c>
      <c r="M63" s="18">
        <f t="shared" si="16"/>
        <v>0</v>
      </c>
      <c r="N63" s="18">
        <f t="shared" si="16"/>
        <v>0</v>
      </c>
      <c r="O63" s="18">
        <f t="shared" si="16"/>
        <v>0</v>
      </c>
      <c r="P63" s="18">
        <f t="shared" si="16"/>
        <v>0</v>
      </c>
      <c r="Q63" s="18">
        <f t="shared" si="16"/>
        <v>0</v>
      </c>
      <c r="R63" s="34">
        <f t="shared" si="16"/>
        <v>0</v>
      </c>
      <c r="S63" s="502">
        <f>IF(F$49&gt;0,J$25*F$49,0)</f>
        <v>3.1958087753765554</v>
      </c>
      <c r="T63" s="503"/>
      <c r="U63" s="500"/>
      <c r="V63" s="106"/>
      <c r="W63" s="106"/>
      <c r="X63" s="38"/>
      <c r="Y63" s="598" t="s">
        <v>3</v>
      </c>
      <c r="Z63" s="252" t="s">
        <v>130</v>
      </c>
      <c r="AA63" s="270" t="s">
        <v>93</v>
      </c>
      <c r="AB63" s="278" t="s">
        <v>17</v>
      </c>
      <c r="AC63" s="278" t="s">
        <v>6</v>
      </c>
      <c r="AD63" s="278" t="s">
        <v>16</v>
      </c>
      <c r="AE63" s="278" t="s">
        <v>10</v>
      </c>
      <c r="AF63" s="278" t="s">
        <v>13</v>
      </c>
      <c r="AG63" s="278" t="s">
        <v>19</v>
      </c>
      <c r="AH63" s="278" t="s">
        <v>7</v>
      </c>
      <c r="AI63" s="278" t="s">
        <v>12</v>
      </c>
      <c r="AJ63" s="278" t="s">
        <v>11</v>
      </c>
      <c r="AK63" s="278" t="s">
        <v>15</v>
      </c>
      <c r="AL63" s="278" t="s">
        <v>9</v>
      </c>
      <c r="AM63" s="278" t="s">
        <v>14</v>
      </c>
      <c r="AN63" s="287" t="s">
        <v>91</v>
      </c>
      <c r="AO63" s="41"/>
      <c r="AP63" s="108"/>
      <c r="AQ63" s="108"/>
    </row>
    <row r="64" spans="1:43" ht="17.850000000000001" customHeight="1" thickBot="1" x14ac:dyDescent="0.3">
      <c r="A64" s="106"/>
      <c r="B64" s="509"/>
      <c r="C64" s="10" t="s">
        <v>48</v>
      </c>
      <c r="D64" s="19">
        <f t="shared" ref="D64:R64" si="17">IF(D63=S376,0,IF($U$60&lt;0,-D63*($S$60/$S$63)^1.2,-D63))</f>
        <v>0</v>
      </c>
      <c r="E64" s="19">
        <f t="shared" si="17"/>
        <v>0</v>
      </c>
      <c r="F64" s="19">
        <f t="shared" si="17"/>
        <v>0</v>
      </c>
      <c r="G64" s="19">
        <f t="shared" si="17"/>
        <v>0</v>
      </c>
      <c r="H64" s="19">
        <f t="shared" si="17"/>
        <v>0</v>
      </c>
      <c r="I64" s="19">
        <f t="shared" si="17"/>
        <v>0</v>
      </c>
      <c r="J64" s="19">
        <f t="shared" si="17"/>
        <v>0</v>
      </c>
      <c r="K64" s="19">
        <f t="shared" si="17"/>
        <v>0</v>
      </c>
      <c r="L64" s="19">
        <f t="shared" si="17"/>
        <v>0</v>
      </c>
      <c r="M64" s="19">
        <f t="shared" si="17"/>
        <v>0</v>
      </c>
      <c r="N64" s="19">
        <f t="shared" si="17"/>
        <v>0</v>
      </c>
      <c r="O64" s="19">
        <f t="shared" si="17"/>
        <v>0</v>
      </c>
      <c r="P64" s="19">
        <f t="shared" si="17"/>
        <v>0</v>
      </c>
      <c r="Q64" s="19">
        <f t="shared" si="17"/>
        <v>0</v>
      </c>
      <c r="R64" s="19">
        <f t="shared" si="17"/>
        <v>0</v>
      </c>
      <c r="S64" s="504"/>
      <c r="T64" s="505"/>
      <c r="U64" s="500"/>
      <c r="V64" s="106"/>
      <c r="W64" s="106"/>
      <c r="X64" s="38"/>
      <c r="Y64" s="589"/>
      <c r="Z64" s="253" t="s">
        <v>128</v>
      </c>
      <c r="AA64" s="256" t="s">
        <v>17</v>
      </c>
      <c r="AB64" s="284" t="s">
        <v>8</v>
      </c>
      <c r="AC64" s="284" t="s">
        <v>19</v>
      </c>
      <c r="AD64" s="284" t="s">
        <v>6</v>
      </c>
      <c r="AE64" s="284" t="s">
        <v>16</v>
      </c>
      <c r="AF64" s="284" t="s">
        <v>13</v>
      </c>
      <c r="AG64" s="284" t="s">
        <v>10</v>
      </c>
      <c r="AH64" s="284" t="s">
        <v>7</v>
      </c>
      <c r="AI64" s="284" t="s">
        <v>12</v>
      </c>
      <c r="AJ64" s="284" t="s">
        <v>11</v>
      </c>
      <c r="AK64" s="284" t="s">
        <v>15</v>
      </c>
      <c r="AL64" s="599" t="s">
        <v>133</v>
      </c>
      <c r="AM64" s="600"/>
      <c r="AN64" s="257" t="s">
        <v>18</v>
      </c>
      <c r="AO64" s="41"/>
      <c r="AP64" s="108"/>
      <c r="AQ64" s="108"/>
    </row>
    <row r="65" spans="1:43" ht="17.850000000000001" customHeight="1" thickBot="1" x14ac:dyDescent="0.3">
      <c r="A65" s="106"/>
      <c r="B65" s="510"/>
      <c r="C65" s="3" t="s">
        <v>44</v>
      </c>
      <c r="D65" s="23">
        <f>D63+D64</f>
        <v>0</v>
      </c>
      <c r="E65" s="23">
        <f t="shared" ref="E65:P65" si="18">E63+E64</f>
        <v>0</v>
      </c>
      <c r="F65" s="23">
        <f t="shared" si="18"/>
        <v>0</v>
      </c>
      <c r="G65" s="23">
        <f t="shared" si="18"/>
        <v>0</v>
      </c>
      <c r="H65" s="23">
        <f t="shared" si="18"/>
        <v>0</v>
      </c>
      <c r="I65" s="23">
        <f t="shared" si="18"/>
        <v>0</v>
      </c>
      <c r="J65" s="23">
        <f t="shared" si="18"/>
        <v>0</v>
      </c>
      <c r="K65" s="23">
        <f t="shared" si="18"/>
        <v>0</v>
      </c>
      <c r="L65" s="23">
        <f t="shared" si="18"/>
        <v>0</v>
      </c>
      <c r="M65" s="23">
        <f t="shared" si="18"/>
        <v>0</v>
      </c>
      <c r="N65" s="23">
        <f t="shared" si="18"/>
        <v>0</v>
      </c>
      <c r="O65" s="23">
        <f t="shared" si="18"/>
        <v>0</v>
      </c>
      <c r="P65" s="23">
        <f t="shared" si="18"/>
        <v>0</v>
      </c>
      <c r="Q65" s="23">
        <f>Q63+Q64</f>
        <v>0</v>
      </c>
      <c r="R65" s="25">
        <f>R63+R64</f>
        <v>0</v>
      </c>
      <c r="S65" s="506"/>
      <c r="T65" s="507"/>
      <c r="U65" s="501"/>
      <c r="V65" s="106"/>
      <c r="W65" s="106"/>
      <c r="X65" s="38"/>
      <c r="Y65" s="493" t="s">
        <v>103</v>
      </c>
      <c r="Z65" s="252" t="s">
        <v>130</v>
      </c>
      <c r="AA65" s="270" t="s">
        <v>16</v>
      </c>
      <c r="AB65" s="278" t="s">
        <v>6</v>
      </c>
      <c r="AC65" s="278" t="s">
        <v>8</v>
      </c>
      <c r="AD65" s="278" t="s">
        <v>15</v>
      </c>
      <c r="AE65" s="278" t="s">
        <v>17</v>
      </c>
      <c r="AF65" s="278" t="s">
        <v>10</v>
      </c>
      <c r="AG65" s="278" t="s">
        <v>19</v>
      </c>
      <c r="AH65" s="278" t="s">
        <v>11</v>
      </c>
      <c r="AI65" s="278" t="s">
        <v>13</v>
      </c>
      <c r="AJ65" s="278" t="s">
        <v>9</v>
      </c>
      <c r="AK65" s="278" t="s">
        <v>7</v>
      </c>
      <c r="AL65" s="278" t="s">
        <v>12</v>
      </c>
      <c r="AM65" s="278" t="s">
        <v>91</v>
      </c>
      <c r="AN65" s="287" t="s">
        <v>14</v>
      </c>
      <c r="AO65" s="41"/>
      <c r="AP65" s="108"/>
      <c r="AQ65" s="108"/>
    </row>
    <row r="66" spans="1:43" ht="17.850000000000001" customHeight="1" thickBot="1" x14ac:dyDescent="0.3">
      <c r="A66" s="106"/>
      <c r="B66" s="508" t="s">
        <v>50</v>
      </c>
      <c r="C66" s="9" t="s">
        <v>20</v>
      </c>
      <c r="D66" s="530"/>
      <c r="E66" s="9">
        <f>E5</f>
        <v>430</v>
      </c>
      <c r="F66" s="9">
        <f>F5</f>
        <v>0</v>
      </c>
      <c r="G66" s="530"/>
      <c r="H66" s="530"/>
      <c r="I66" s="530"/>
      <c r="J66" s="9">
        <f>J5</f>
        <v>0</v>
      </c>
      <c r="K66" s="530"/>
      <c r="L66" s="530"/>
      <c r="M66" s="9">
        <f>M5</f>
        <v>0</v>
      </c>
      <c r="N66" s="530"/>
      <c r="O66" s="9">
        <f>O5</f>
        <v>0</v>
      </c>
      <c r="P66" s="521"/>
      <c r="Q66" s="533"/>
      <c r="R66" s="524"/>
      <c r="S66" s="517">
        <f>F25</f>
        <v>9890</v>
      </c>
      <c r="T66" s="518"/>
      <c r="U66" s="499">
        <f>S66-S69</f>
        <v>9886.7616240995412</v>
      </c>
      <c r="V66" s="106"/>
      <c r="W66" s="106"/>
      <c r="X66" s="38"/>
      <c r="Y66" s="494"/>
      <c r="Z66" s="253" t="s">
        <v>128</v>
      </c>
      <c r="AA66" s="254" t="s">
        <v>19</v>
      </c>
      <c r="AB66" s="258" t="s">
        <v>16</v>
      </c>
      <c r="AC66" s="258" t="s">
        <v>17</v>
      </c>
      <c r="AD66" s="258" t="s">
        <v>15</v>
      </c>
      <c r="AE66" s="258" t="s">
        <v>8</v>
      </c>
      <c r="AF66" s="258" t="s">
        <v>6</v>
      </c>
      <c r="AG66" s="258" t="s">
        <v>10</v>
      </c>
      <c r="AH66" s="599" t="s">
        <v>134</v>
      </c>
      <c r="AI66" s="600"/>
      <c r="AJ66" s="258" t="s">
        <v>7</v>
      </c>
      <c r="AK66" s="258" t="s">
        <v>9</v>
      </c>
      <c r="AL66" s="258" t="s">
        <v>12</v>
      </c>
      <c r="AM66" s="258" t="s">
        <v>18</v>
      </c>
      <c r="AN66" s="255" t="s">
        <v>14</v>
      </c>
      <c r="AO66" s="41"/>
      <c r="AP66" s="108"/>
      <c r="AQ66" s="108"/>
    </row>
    <row r="67" spans="1:43" ht="17.850000000000001" customHeight="1" thickBot="1" x14ac:dyDescent="0.3">
      <c r="A67" s="106"/>
      <c r="B67" s="509"/>
      <c r="C67" s="10" t="s">
        <v>48</v>
      </c>
      <c r="D67" s="512"/>
      <c r="E67" s="19">
        <f>IF(E66=0,0,IF($U$66&gt;0,-E66*($S$69/$S$66)^1.2,-E66))</f>
        <v>-2.828952245247841E-2</v>
      </c>
      <c r="F67" s="19">
        <f>IF(F66=0,0,IF($U$66&gt;0,-F66*($S$69/$S$66)^1.2,-F66))</f>
        <v>0</v>
      </c>
      <c r="G67" s="512"/>
      <c r="H67" s="512"/>
      <c r="I67" s="512"/>
      <c r="J67" s="19">
        <f>IF(J66=0,0,IF($U$66&gt;0,-J66*($S$69/$S$66)^1.2,-J66))</f>
        <v>0</v>
      </c>
      <c r="K67" s="512"/>
      <c r="L67" s="512"/>
      <c r="M67" s="19">
        <f>IF(M66=0,0,IF($U$66&gt;0,-M66*($S$69/$S$66)^1.2,-M66))</f>
        <v>0</v>
      </c>
      <c r="N67" s="512"/>
      <c r="O67" s="19">
        <f>IF(O66=0,0,IF($U$66&gt;0,-O66*($S$69/$S$66)^1.2,-O66))</f>
        <v>0</v>
      </c>
      <c r="P67" s="523"/>
      <c r="Q67" s="534"/>
      <c r="R67" s="524"/>
      <c r="S67" s="504"/>
      <c r="T67" s="505"/>
      <c r="U67" s="500"/>
      <c r="V67" s="106"/>
      <c r="W67" s="106"/>
      <c r="X67" s="70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2"/>
      <c r="AP67" s="108"/>
      <c r="AQ67" s="108"/>
    </row>
    <row r="68" spans="1:43" ht="17.850000000000001" customHeight="1" thickTop="1" thickBot="1" x14ac:dyDescent="0.3">
      <c r="A68" s="106"/>
      <c r="B68" s="509"/>
      <c r="C68" s="10" t="s">
        <v>44</v>
      </c>
      <c r="D68" s="512"/>
      <c r="E68" s="22">
        <f>E66+E67</f>
        <v>429.9717104775475</v>
      </c>
      <c r="F68" s="22">
        <f>F66+F67</f>
        <v>0</v>
      </c>
      <c r="G68" s="512"/>
      <c r="H68" s="512"/>
      <c r="I68" s="512"/>
      <c r="J68" s="22">
        <f>J66+J67</f>
        <v>0</v>
      </c>
      <c r="K68" s="512"/>
      <c r="L68" s="512"/>
      <c r="M68" s="22">
        <f>M66+M67</f>
        <v>0</v>
      </c>
      <c r="N68" s="512"/>
      <c r="O68" s="22">
        <f>O66+O67</f>
        <v>0</v>
      </c>
      <c r="P68" s="525"/>
      <c r="Q68" s="535"/>
      <c r="R68" s="526"/>
      <c r="S68" s="519"/>
      <c r="T68" s="520"/>
      <c r="U68" s="500"/>
      <c r="V68" s="106"/>
      <c r="W68" s="106"/>
      <c r="X68" s="35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7"/>
      <c r="AP68" s="108"/>
      <c r="AQ68" s="108"/>
    </row>
    <row r="69" spans="1:43" ht="17.850000000000001" customHeight="1" thickBot="1" x14ac:dyDescent="0.3">
      <c r="A69" s="106"/>
      <c r="B69" s="509"/>
      <c r="C69" s="10" t="s">
        <v>21</v>
      </c>
      <c r="D69" s="10">
        <f t="shared" ref="D69:J69" si="19">IF($G$49&gt;0,$G$49*D10,0)</f>
        <v>0</v>
      </c>
      <c r="E69" s="18">
        <f t="shared" si="19"/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8">
        <f t="shared" ref="K69:R69" si="20">IF($G$49&gt;0,$G$49*K10,0)</f>
        <v>0</v>
      </c>
      <c r="L69" s="18">
        <f t="shared" si="20"/>
        <v>0</v>
      </c>
      <c r="M69" s="18">
        <f t="shared" si="20"/>
        <v>0</v>
      </c>
      <c r="N69" s="18">
        <f t="shared" si="20"/>
        <v>0</v>
      </c>
      <c r="O69" s="18">
        <f t="shared" si="20"/>
        <v>0</v>
      </c>
      <c r="P69" s="18">
        <f t="shared" si="20"/>
        <v>0</v>
      </c>
      <c r="Q69" s="18">
        <f t="shared" si="20"/>
        <v>0</v>
      </c>
      <c r="R69" s="34">
        <f t="shared" si="20"/>
        <v>0</v>
      </c>
      <c r="S69" s="502">
        <f>IF(G$49&gt;0,K$25*G$49,0)</f>
        <v>3.2383759004584149</v>
      </c>
      <c r="T69" s="503"/>
      <c r="U69" s="500"/>
      <c r="V69" s="106"/>
      <c r="W69" s="106"/>
      <c r="X69" s="38"/>
      <c r="Y69" s="592" t="s">
        <v>105</v>
      </c>
      <c r="Z69" s="593"/>
      <c r="AA69" s="593"/>
      <c r="AB69" s="593"/>
      <c r="AC69" s="593"/>
      <c r="AD69" s="593"/>
      <c r="AE69" s="593"/>
      <c r="AF69" s="593"/>
      <c r="AG69" s="593"/>
      <c r="AH69" s="593"/>
      <c r="AI69" s="593"/>
      <c r="AJ69" s="593"/>
      <c r="AK69" s="593"/>
      <c r="AL69" s="593"/>
      <c r="AM69" s="594"/>
      <c r="AN69" s="298"/>
      <c r="AO69" s="41"/>
      <c r="AP69" s="108"/>
      <c r="AQ69" s="108"/>
    </row>
    <row r="70" spans="1:43" ht="17.850000000000001" customHeight="1" thickBot="1" x14ac:dyDescent="0.3">
      <c r="A70" s="106"/>
      <c r="B70" s="509"/>
      <c r="C70" s="10" t="s">
        <v>48</v>
      </c>
      <c r="D70" s="19">
        <f t="shared" ref="D70:R70" si="21">IF(D69=S380,0,IF($U$66&lt;0,-D69*($S$66/$S$69)^1.2,-D69))</f>
        <v>0</v>
      </c>
      <c r="E70" s="19">
        <f t="shared" si="21"/>
        <v>0</v>
      </c>
      <c r="F70" s="19">
        <f t="shared" si="21"/>
        <v>0</v>
      </c>
      <c r="G70" s="19">
        <f t="shared" si="21"/>
        <v>0</v>
      </c>
      <c r="H70" s="19">
        <f t="shared" si="21"/>
        <v>0</v>
      </c>
      <c r="I70" s="19">
        <f t="shared" si="21"/>
        <v>0</v>
      </c>
      <c r="J70" s="19">
        <f t="shared" si="21"/>
        <v>0</v>
      </c>
      <c r="K70" s="19">
        <f t="shared" si="21"/>
        <v>0</v>
      </c>
      <c r="L70" s="19">
        <f t="shared" si="21"/>
        <v>0</v>
      </c>
      <c r="M70" s="19">
        <f t="shared" si="21"/>
        <v>0</v>
      </c>
      <c r="N70" s="19">
        <f t="shared" si="21"/>
        <v>0</v>
      </c>
      <c r="O70" s="19">
        <f t="shared" si="21"/>
        <v>0</v>
      </c>
      <c r="P70" s="19">
        <f t="shared" si="21"/>
        <v>0</v>
      </c>
      <c r="Q70" s="19">
        <f t="shared" si="21"/>
        <v>0</v>
      </c>
      <c r="R70" s="19">
        <f t="shared" si="21"/>
        <v>0</v>
      </c>
      <c r="S70" s="504"/>
      <c r="T70" s="505"/>
      <c r="U70" s="500"/>
      <c r="V70" s="106"/>
      <c r="W70" s="106"/>
      <c r="X70" s="38"/>
      <c r="Y70" s="298"/>
      <c r="Z70" s="43" t="s">
        <v>8</v>
      </c>
      <c r="AA70" s="100" t="s">
        <v>9</v>
      </c>
      <c r="AB70" s="100" t="s">
        <v>10</v>
      </c>
      <c r="AC70" s="100" t="s">
        <v>11</v>
      </c>
      <c r="AD70" s="100" t="s">
        <v>12</v>
      </c>
      <c r="AE70" s="100" t="s">
        <v>13</v>
      </c>
      <c r="AF70" s="100" t="s">
        <v>14</v>
      </c>
      <c r="AG70" s="100" t="s">
        <v>6</v>
      </c>
      <c r="AH70" s="100" t="s">
        <v>7</v>
      </c>
      <c r="AI70" s="100" t="s">
        <v>15</v>
      </c>
      <c r="AJ70" s="100" t="s">
        <v>16</v>
      </c>
      <c r="AK70" s="100" t="s">
        <v>17</v>
      </c>
      <c r="AL70" s="100" t="s">
        <v>18</v>
      </c>
      <c r="AM70" s="45" t="s">
        <v>19</v>
      </c>
      <c r="AN70" s="298"/>
      <c r="AO70" s="41"/>
      <c r="AP70" s="108"/>
      <c r="AQ70" s="108"/>
    </row>
    <row r="71" spans="1:43" ht="17.850000000000001" customHeight="1" thickBot="1" x14ac:dyDescent="0.3">
      <c r="A71" s="106"/>
      <c r="B71" s="510"/>
      <c r="C71" s="11" t="s">
        <v>44</v>
      </c>
      <c r="D71" s="25">
        <f>D69+D70</f>
        <v>0</v>
      </c>
      <c r="E71" s="25">
        <f t="shared" ref="E71:Q71" si="22">E69+E70</f>
        <v>0</v>
      </c>
      <c r="F71" s="25">
        <f t="shared" si="22"/>
        <v>0</v>
      </c>
      <c r="G71" s="25">
        <f t="shared" si="22"/>
        <v>0</v>
      </c>
      <c r="H71" s="25">
        <f t="shared" si="22"/>
        <v>0</v>
      </c>
      <c r="I71" s="25">
        <f t="shared" si="22"/>
        <v>0</v>
      </c>
      <c r="J71" s="25">
        <f t="shared" si="22"/>
        <v>0</v>
      </c>
      <c r="K71" s="25">
        <f t="shared" si="22"/>
        <v>0</v>
      </c>
      <c r="L71" s="25">
        <f t="shared" si="22"/>
        <v>0</v>
      </c>
      <c r="M71" s="25">
        <f t="shared" si="22"/>
        <v>0</v>
      </c>
      <c r="N71" s="25">
        <f t="shared" si="22"/>
        <v>0</v>
      </c>
      <c r="O71" s="25">
        <f t="shared" si="22"/>
        <v>0</v>
      </c>
      <c r="P71" s="25">
        <f t="shared" si="22"/>
        <v>0</v>
      </c>
      <c r="Q71" s="25">
        <f t="shared" si="22"/>
        <v>0</v>
      </c>
      <c r="R71" s="25">
        <f t="shared" ref="R71" si="23">R69+R70</f>
        <v>0</v>
      </c>
      <c r="S71" s="506"/>
      <c r="T71" s="507"/>
      <c r="U71" s="501"/>
      <c r="V71" s="106"/>
      <c r="W71" s="106"/>
      <c r="X71" s="38"/>
      <c r="Y71" s="275" t="s">
        <v>75</v>
      </c>
      <c r="Z71" s="302">
        <f t="shared" ref="Z71:AM71" si="24">IF($AA$28=1,Z18*0.9/Z6,Z18/Z6)</f>
        <v>19</v>
      </c>
      <c r="AA71" s="272">
        <f t="shared" si="24"/>
        <v>2.3913043478260869</v>
      </c>
      <c r="AB71" s="272">
        <f t="shared" si="24"/>
        <v>15</v>
      </c>
      <c r="AC71" s="272">
        <f t="shared" si="24"/>
        <v>0</v>
      </c>
      <c r="AD71" s="272">
        <f t="shared" si="24"/>
        <v>4.3636363636363633</v>
      </c>
      <c r="AE71" s="272">
        <f t="shared" si="24"/>
        <v>3.5714285714285716</v>
      </c>
      <c r="AF71" s="272">
        <f t="shared" si="24"/>
        <v>12</v>
      </c>
      <c r="AG71" s="272">
        <f t="shared" si="24"/>
        <v>3.3333333333333335</v>
      </c>
      <c r="AH71" s="272">
        <f t="shared" si="24"/>
        <v>4.6560846560846558</v>
      </c>
      <c r="AI71" s="272">
        <f t="shared" si="24"/>
        <v>11.153846153846153</v>
      </c>
      <c r="AJ71" s="272">
        <f t="shared" si="24"/>
        <v>28</v>
      </c>
      <c r="AK71" s="272">
        <f t="shared" si="24"/>
        <v>2.6455026455026456</v>
      </c>
      <c r="AL71" s="272">
        <f t="shared" si="24"/>
        <v>6.0150375939849621</v>
      </c>
      <c r="AM71" s="272">
        <f t="shared" si="24"/>
        <v>3.5294117647058822</v>
      </c>
      <c r="AN71" s="298"/>
      <c r="AO71" s="41"/>
      <c r="AP71" s="108"/>
      <c r="AQ71" s="108"/>
    </row>
    <row r="72" spans="1:43" ht="18" customHeight="1" x14ac:dyDescent="0.25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8"/>
      <c r="S72" s="106"/>
      <c r="T72" s="106"/>
      <c r="U72" s="106"/>
      <c r="V72" s="106"/>
      <c r="W72" s="106"/>
      <c r="X72" s="38"/>
      <c r="Y72" s="306" t="s">
        <v>76</v>
      </c>
      <c r="Z72" s="303">
        <f t="shared" ref="Z72:AM72" si="25">IF($AA$28=1,Z19*0.9/Z6,Z19/Z6)</f>
        <v>0</v>
      </c>
      <c r="AA72" s="291">
        <f t="shared" si="25"/>
        <v>4.3478260869565215</v>
      </c>
      <c r="AB72" s="291">
        <f t="shared" si="25"/>
        <v>0</v>
      </c>
      <c r="AC72" s="291">
        <f t="shared" si="25"/>
        <v>4.6875</v>
      </c>
      <c r="AD72" s="291">
        <f t="shared" si="25"/>
        <v>2.1818181818181817</v>
      </c>
      <c r="AE72" s="291">
        <f t="shared" si="25"/>
        <v>7.8571428571428568</v>
      </c>
      <c r="AF72" s="291">
        <f t="shared" si="25"/>
        <v>12</v>
      </c>
      <c r="AG72" s="291">
        <f t="shared" si="25"/>
        <v>1.4285714285714286</v>
      </c>
      <c r="AH72" s="291">
        <f t="shared" si="25"/>
        <v>3.1746031746031744</v>
      </c>
      <c r="AI72" s="291">
        <f t="shared" si="25"/>
        <v>1.9230769230769231</v>
      </c>
      <c r="AJ72" s="291">
        <f t="shared" si="25"/>
        <v>3.6</v>
      </c>
      <c r="AK72" s="291">
        <f t="shared" si="25"/>
        <v>5.5555555555555554</v>
      </c>
      <c r="AL72" s="291">
        <f t="shared" si="25"/>
        <v>1.5037593984962405</v>
      </c>
      <c r="AM72" s="295">
        <f t="shared" si="25"/>
        <v>8.0470588235294116</v>
      </c>
      <c r="AN72" s="298"/>
      <c r="AO72" s="41"/>
      <c r="AP72" s="108"/>
      <c r="AQ72" s="108"/>
    </row>
    <row r="73" spans="1:43" ht="17.25" thickBot="1" x14ac:dyDescent="0.3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8"/>
      <c r="S73" s="106"/>
      <c r="T73" s="106"/>
      <c r="U73" s="106"/>
      <c r="V73" s="106"/>
      <c r="W73" s="106"/>
      <c r="X73" s="38"/>
      <c r="Y73" s="307" t="s">
        <v>77</v>
      </c>
      <c r="Z73" s="304">
        <f t="shared" ref="Z73:AM73" si="26">IF($AA$28=1,Z20*0.9/Z6,Z20/Z6)</f>
        <v>17</v>
      </c>
      <c r="AA73" s="102">
        <f t="shared" si="26"/>
        <v>1.7391304347826086</v>
      </c>
      <c r="AB73" s="102">
        <f t="shared" si="26"/>
        <v>9.375</v>
      </c>
      <c r="AC73" s="102">
        <f t="shared" si="26"/>
        <v>9.375</v>
      </c>
      <c r="AD73" s="102">
        <f t="shared" si="26"/>
        <v>6.5454545454545459</v>
      </c>
      <c r="AE73" s="102">
        <f t="shared" si="26"/>
        <v>5.7142857142857144</v>
      </c>
      <c r="AF73" s="102">
        <f t="shared" si="26"/>
        <v>12</v>
      </c>
      <c r="AG73" s="102">
        <f t="shared" si="26"/>
        <v>7.3809523809523814</v>
      </c>
      <c r="AH73" s="102">
        <f t="shared" si="26"/>
        <v>3.5978835978835977</v>
      </c>
      <c r="AI73" s="102">
        <f t="shared" si="26"/>
        <v>4.4871794871794872</v>
      </c>
      <c r="AJ73" s="102">
        <f t="shared" si="26"/>
        <v>0.8</v>
      </c>
      <c r="AK73" s="102">
        <f t="shared" si="26"/>
        <v>4.4444444444444446</v>
      </c>
      <c r="AL73" s="102">
        <f t="shared" si="26"/>
        <v>5.1127819548872182</v>
      </c>
      <c r="AM73" s="103">
        <f t="shared" si="26"/>
        <v>5.1764705882352944</v>
      </c>
      <c r="AN73" s="298"/>
      <c r="AO73" s="41"/>
      <c r="AP73" s="108"/>
      <c r="AQ73" s="108"/>
    </row>
    <row r="74" spans="1:43" ht="17.25" thickBot="1" x14ac:dyDescent="0.3">
      <c r="A74" s="106"/>
      <c r="B74" s="106"/>
      <c r="C74" s="538" t="s">
        <v>46</v>
      </c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40"/>
      <c r="U74" s="106"/>
      <c r="V74" s="106"/>
      <c r="W74" s="106"/>
      <c r="X74" s="38"/>
      <c r="Y74" s="166" t="s">
        <v>47</v>
      </c>
      <c r="Z74" s="305">
        <f>Z71+Z72+Z73</f>
        <v>36</v>
      </c>
      <c r="AA74" s="164">
        <f t="shared" ref="AA74:AM74" si="27">AA71+AA72+AA73</f>
        <v>8.4782608695652169</v>
      </c>
      <c r="AB74" s="164">
        <f t="shared" si="27"/>
        <v>24.375</v>
      </c>
      <c r="AC74" s="164">
        <f t="shared" si="27"/>
        <v>14.0625</v>
      </c>
      <c r="AD74" s="164">
        <f t="shared" si="27"/>
        <v>13.09090909090909</v>
      </c>
      <c r="AE74" s="164">
        <f t="shared" si="27"/>
        <v>17.142857142857142</v>
      </c>
      <c r="AF74" s="164">
        <f t="shared" si="27"/>
        <v>36</v>
      </c>
      <c r="AG74" s="164">
        <f t="shared" si="27"/>
        <v>12.142857142857142</v>
      </c>
      <c r="AH74" s="164">
        <f t="shared" si="27"/>
        <v>11.428571428571429</v>
      </c>
      <c r="AI74" s="164">
        <f t="shared" si="27"/>
        <v>17.564102564102562</v>
      </c>
      <c r="AJ74" s="164">
        <f t="shared" si="27"/>
        <v>32.4</v>
      </c>
      <c r="AK74" s="164">
        <f t="shared" si="27"/>
        <v>12.645502645502646</v>
      </c>
      <c r="AL74" s="164">
        <f t="shared" si="27"/>
        <v>12.631578947368421</v>
      </c>
      <c r="AM74" s="165">
        <f t="shared" si="27"/>
        <v>16.752941176470589</v>
      </c>
      <c r="AN74" s="298"/>
      <c r="AO74" s="41"/>
      <c r="AP74" s="108"/>
      <c r="AQ74" s="108"/>
    </row>
    <row r="75" spans="1:43" ht="18" customHeight="1" thickBot="1" x14ac:dyDescent="0.3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8"/>
      <c r="S75" s="106"/>
      <c r="T75" s="106"/>
      <c r="U75" s="106"/>
      <c r="V75" s="106"/>
      <c r="W75" s="106"/>
      <c r="X75" s="38"/>
      <c r="Y75" s="56" t="s">
        <v>128</v>
      </c>
      <c r="Z75" s="223">
        <f t="shared" ref="Z75:AM75" si="28">Z6/Z21</f>
        <v>5</v>
      </c>
      <c r="AA75" s="100">
        <f t="shared" si="28"/>
        <v>23</v>
      </c>
      <c r="AB75" s="100">
        <f t="shared" si="28"/>
        <v>8</v>
      </c>
      <c r="AC75" s="100">
        <f t="shared" si="28"/>
        <v>16</v>
      </c>
      <c r="AD75" s="100">
        <f t="shared" si="28"/>
        <v>18.333333333333332</v>
      </c>
      <c r="AE75" s="100">
        <f t="shared" si="28"/>
        <v>14</v>
      </c>
      <c r="AF75" s="100">
        <f t="shared" si="28"/>
        <v>6.666666666666667</v>
      </c>
      <c r="AG75" s="100">
        <f t="shared" si="28"/>
        <v>14</v>
      </c>
      <c r="AH75" s="100">
        <f t="shared" si="28"/>
        <v>21</v>
      </c>
      <c r="AI75" s="100">
        <f t="shared" si="28"/>
        <v>13</v>
      </c>
      <c r="AJ75" s="100">
        <f t="shared" si="28"/>
        <v>5</v>
      </c>
      <c r="AK75" s="100">
        <f t="shared" si="28"/>
        <v>18.899999999999999</v>
      </c>
      <c r="AL75" s="100">
        <f t="shared" si="28"/>
        <v>19</v>
      </c>
      <c r="AM75" s="45">
        <f t="shared" si="28"/>
        <v>23.611111111111111</v>
      </c>
      <c r="AN75" s="298"/>
      <c r="AO75" s="41"/>
      <c r="AP75" s="108"/>
      <c r="AQ75" s="108"/>
    </row>
    <row r="76" spans="1:43" ht="18" customHeight="1" thickBot="1" x14ac:dyDescent="0.3">
      <c r="A76" s="106"/>
      <c r="B76" s="106"/>
      <c r="C76" s="106"/>
      <c r="D76" s="163" t="s">
        <v>8</v>
      </c>
      <c r="E76" s="164" t="s">
        <v>9</v>
      </c>
      <c r="F76" s="164" t="s">
        <v>10</v>
      </c>
      <c r="G76" s="164" t="s">
        <v>11</v>
      </c>
      <c r="H76" s="164" t="s">
        <v>12</v>
      </c>
      <c r="I76" s="164" t="s">
        <v>13</v>
      </c>
      <c r="J76" s="164" t="s">
        <v>14</v>
      </c>
      <c r="K76" s="164" t="s">
        <v>6</v>
      </c>
      <c r="L76" s="164" t="s">
        <v>7</v>
      </c>
      <c r="M76" s="164" t="s">
        <v>15</v>
      </c>
      <c r="N76" s="164" t="s">
        <v>16</v>
      </c>
      <c r="O76" s="164" t="s">
        <v>17</v>
      </c>
      <c r="P76" s="164" t="s">
        <v>18</v>
      </c>
      <c r="Q76" s="164" t="s">
        <v>19</v>
      </c>
      <c r="R76" s="165" t="s">
        <v>113</v>
      </c>
      <c r="S76" s="166" t="s">
        <v>47</v>
      </c>
      <c r="T76" s="106"/>
      <c r="U76" s="106"/>
      <c r="V76" s="106"/>
      <c r="W76" s="106"/>
      <c r="X76" s="3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41"/>
      <c r="AP76" s="108"/>
      <c r="AQ76" s="108"/>
    </row>
    <row r="77" spans="1:43" ht="18" customHeight="1" thickBot="1" x14ac:dyDescent="0.3">
      <c r="A77" s="106"/>
      <c r="B77" s="531" t="s">
        <v>52</v>
      </c>
      <c r="C77" s="116" t="s">
        <v>20</v>
      </c>
      <c r="D77" s="118">
        <f>D56</f>
        <v>0</v>
      </c>
      <c r="E77" s="118">
        <f>E68</f>
        <v>429.9717104775475</v>
      </c>
      <c r="F77" s="118">
        <f>F68</f>
        <v>0</v>
      </c>
      <c r="G77" s="118">
        <f>G62</f>
        <v>119.99210524954815</v>
      </c>
      <c r="H77" s="118">
        <f>H56</f>
        <v>149.99013156193519</v>
      </c>
      <c r="I77" s="118">
        <f>I62</f>
        <v>139.99078945780616</v>
      </c>
      <c r="J77" s="118">
        <f>J68</f>
        <v>0</v>
      </c>
      <c r="K77" s="118">
        <f>K56</f>
        <v>0</v>
      </c>
      <c r="L77" s="118">
        <f>L62</f>
        <v>0</v>
      </c>
      <c r="M77" s="118">
        <f>M68</f>
        <v>0</v>
      </c>
      <c r="N77" s="118">
        <f>N62</f>
        <v>0</v>
      </c>
      <c r="O77" s="118">
        <f>O68</f>
        <v>0</v>
      </c>
      <c r="P77" s="118">
        <f>P56</f>
        <v>0</v>
      </c>
      <c r="Q77" s="116">
        <f>Q62</f>
        <v>0</v>
      </c>
      <c r="R77" s="127"/>
      <c r="S77" s="117">
        <f>SUM(D77:Q77)</f>
        <v>839.94473674683695</v>
      </c>
      <c r="T77" s="106"/>
      <c r="U77" s="106"/>
      <c r="V77" s="106"/>
      <c r="W77" s="106"/>
      <c r="X77" s="38"/>
      <c r="Y77" s="601" t="s">
        <v>104</v>
      </c>
      <c r="Z77" s="602"/>
      <c r="AA77" s="602"/>
      <c r="AB77" s="602"/>
      <c r="AC77" s="602"/>
      <c r="AD77" s="602"/>
      <c r="AE77" s="602"/>
      <c r="AF77" s="602"/>
      <c r="AG77" s="602"/>
      <c r="AH77" s="602"/>
      <c r="AI77" s="602"/>
      <c r="AJ77" s="602"/>
      <c r="AK77" s="602"/>
      <c r="AL77" s="602"/>
      <c r="AM77" s="603"/>
      <c r="AN77" s="298"/>
      <c r="AO77" s="41"/>
      <c r="AP77" s="108"/>
      <c r="AQ77" s="108"/>
    </row>
    <row r="78" spans="1:43" ht="18" customHeight="1" thickBot="1" x14ac:dyDescent="0.3">
      <c r="A78" s="106"/>
      <c r="B78" s="532"/>
      <c r="C78" s="114" t="s">
        <v>21</v>
      </c>
      <c r="D78" s="114">
        <f>D59+D65+D71</f>
        <v>0</v>
      </c>
      <c r="E78" s="114">
        <f t="shared" ref="E78:P78" si="29">E59+E65+E71</f>
        <v>0</v>
      </c>
      <c r="F78" s="114">
        <f t="shared" si="29"/>
        <v>0</v>
      </c>
      <c r="G78" s="114">
        <f t="shared" si="29"/>
        <v>0</v>
      </c>
      <c r="H78" s="114">
        <f t="shared" si="29"/>
        <v>0</v>
      </c>
      <c r="I78" s="114">
        <f t="shared" si="29"/>
        <v>0</v>
      </c>
      <c r="J78" s="114">
        <f t="shared" si="29"/>
        <v>0</v>
      </c>
      <c r="K78" s="114">
        <f t="shared" si="29"/>
        <v>0</v>
      </c>
      <c r="L78" s="114">
        <f t="shared" si="29"/>
        <v>0</v>
      </c>
      <c r="M78" s="114">
        <f t="shared" si="29"/>
        <v>0</v>
      </c>
      <c r="N78" s="114">
        <f t="shared" si="29"/>
        <v>0</v>
      </c>
      <c r="O78" s="114">
        <f t="shared" si="29"/>
        <v>0</v>
      </c>
      <c r="P78" s="114">
        <f t="shared" si="29"/>
        <v>0</v>
      </c>
      <c r="Q78" s="114">
        <f>Q59+Q65+Q71</f>
        <v>0</v>
      </c>
      <c r="R78" s="114">
        <f>R59+R65+R71</f>
        <v>0</v>
      </c>
      <c r="S78" s="126">
        <f>SUM(D78:R78)</f>
        <v>0</v>
      </c>
      <c r="T78" s="106"/>
      <c r="U78" s="106"/>
      <c r="V78" s="106"/>
      <c r="W78" s="106"/>
      <c r="X78" s="38"/>
      <c r="Y78" s="601" t="s">
        <v>23</v>
      </c>
      <c r="Z78" s="603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41"/>
      <c r="AP78" s="108"/>
      <c r="AQ78" s="108"/>
    </row>
    <row r="79" spans="1:43" ht="18" customHeight="1" thickBot="1" x14ac:dyDescent="0.3">
      <c r="A79" s="106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6"/>
      <c r="T79" s="106"/>
      <c r="U79" s="106"/>
      <c r="V79" s="106"/>
      <c r="W79" s="106"/>
      <c r="X79" s="38"/>
      <c r="Y79" s="119" t="s">
        <v>75</v>
      </c>
      <c r="Z79" s="308">
        <f t="shared" ref="Z79:AM79" si="30">IF($AA$33=1,Z18*0.9/Z$8,Z18/Z$8)</f>
        <v>6.7857142857142856</v>
      </c>
      <c r="AA79" s="290">
        <f t="shared" si="30"/>
        <v>7.8571428571428568</v>
      </c>
      <c r="AB79" s="290">
        <f t="shared" si="30"/>
        <v>20</v>
      </c>
      <c r="AC79" s="290">
        <f t="shared" si="30"/>
        <v>0</v>
      </c>
      <c r="AD79" s="290">
        <f t="shared" si="30"/>
        <v>13.333333333333334</v>
      </c>
      <c r="AE79" s="290">
        <f t="shared" si="30"/>
        <v>2.6315789473684212</v>
      </c>
      <c r="AF79" s="290">
        <f t="shared" si="30"/>
        <v>40</v>
      </c>
      <c r="AG79" s="290">
        <f t="shared" si="30"/>
        <v>2.074074074074074</v>
      </c>
      <c r="AH79" s="290">
        <f t="shared" si="30"/>
        <v>25.882352941176471</v>
      </c>
      <c r="AI79" s="290">
        <f t="shared" si="30"/>
        <v>11.6</v>
      </c>
      <c r="AJ79" s="290">
        <f t="shared" si="30"/>
        <v>3.1111111111111112</v>
      </c>
      <c r="AK79" s="290">
        <f t="shared" si="30"/>
        <v>2.1164021164021163</v>
      </c>
      <c r="AL79" s="290">
        <f t="shared" si="30"/>
        <v>15.238095238095237</v>
      </c>
      <c r="AM79" s="294">
        <f t="shared" si="30"/>
        <v>2.4</v>
      </c>
      <c r="AN79" s="298"/>
      <c r="AO79" s="41"/>
      <c r="AP79" s="108"/>
      <c r="AQ79" s="108"/>
    </row>
    <row r="80" spans="1:43" ht="18" customHeight="1" thickBot="1" x14ac:dyDescent="0.3">
      <c r="A80" s="106"/>
      <c r="B80" s="104"/>
      <c r="C80" s="547" t="s">
        <v>22</v>
      </c>
      <c r="D80" s="550" t="s">
        <v>23</v>
      </c>
      <c r="E80" s="550" t="s">
        <v>24</v>
      </c>
      <c r="F80" s="552" t="s">
        <v>3</v>
      </c>
      <c r="G80" s="104"/>
      <c r="H80" s="104"/>
      <c r="I80" s="104"/>
      <c r="J80" s="104"/>
      <c r="K80" s="104"/>
      <c r="L80" s="531" t="s">
        <v>25</v>
      </c>
      <c r="M80" s="543" t="s">
        <v>23</v>
      </c>
      <c r="N80" s="543" t="s">
        <v>24</v>
      </c>
      <c r="O80" s="545" t="s">
        <v>3</v>
      </c>
      <c r="P80" s="104"/>
      <c r="Q80" s="104"/>
      <c r="R80" s="104"/>
      <c r="S80" s="106"/>
      <c r="T80" s="106"/>
      <c r="U80" s="106"/>
      <c r="V80" s="106"/>
      <c r="W80" s="106"/>
      <c r="X80" s="38"/>
      <c r="Y80" s="60" t="s">
        <v>76</v>
      </c>
      <c r="Z80" s="283">
        <f t="shared" ref="Z80:AM80" si="31">IF($AA$33=1,Z19*0.9/Z$8,Z19/Z$8)</f>
        <v>0</v>
      </c>
      <c r="AA80" s="279">
        <f t="shared" si="31"/>
        <v>14.285714285714286</v>
      </c>
      <c r="AB80" s="279">
        <f t="shared" si="31"/>
        <v>0</v>
      </c>
      <c r="AC80" s="279">
        <f t="shared" si="31"/>
        <v>4.166666666666667</v>
      </c>
      <c r="AD80" s="279">
        <f t="shared" si="31"/>
        <v>6.666666666666667</v>
      </c>
      <c r="AE80" s="279">
        <f t="shared" si="31"/>
        <v>5.7894736842105265</v>
      </c>
      <c r="AF80" s="279">
        <f t="shared" si="31"/>
        <v>40</v>
      </c>
      <c r="AG80" s="279">
        <f t="shared" si="31"/>
        <v>0.88888888888888884</v>
      </c>
      <c r="AH80" s="279">
        <f t="shared" si="31"/>
        <v>17.647058823529413</v>
      </c>
      <c r="AI80" s="279">
        <f t="shared" si="31"/>
        <v>2</v>
      </c>
      <c r="AJ80" s="279">
        <f t="shared" si="31"/>
        <v>0.4</v>
      </c>
      <c r="AK80" s="279">
        <f t="shared" si="31"/>
        <v>4.4444444444444446</v>
      </c>
      <c r="AL80" s="279">
        <f t="shared" si="31"/>
        <v>3.8095238095238093</v>
      </c>
      <c r="AM80" s="288">
        <f t="shared" si="31"/>
        <v>5.4720000000000004</v>
      </c>
      <c r="AN80" s="298"/>
      <c r="AO80" s="41"/>
      <c r="AP80" s="108"/>
      <c r="AQ80" s="108"/>
    </row>
    <row r="81" spans="1:43" ht="18" customHeight="1" thickBot="1" x14ac:dyDescent="0.3">
      <c r="A81" s="106"/>
      <c r="B81" s="104"/>
      <c r="C81" s="548"/>
      <c r="D81" s="551"/>
      <c r="E81" s="551"/>
      <c r="F81" s="553"/>
      <c r="G81" s="119" t="s">
        <v>47</v>
      </c>
      <c r="H81" s="104"/>
      <c r="I81" s="104"/>
      <c r="J81" s="104"/>
      <c r="K81" s="104"/>
      <c r="L81" s="541"/>
      <c r="M81" s="544"/>
      <c r="N81" s="544"/>
      <c r="O81" s="546"/>
      <c r="P81" s="104"/>
      <c r="Q81" s="104"/>
      <c r="R81" s="104"/>
      <c r="S81" s="106"/>
      <c r="T81" s="106"/>
      <c r="U81" s="106"/>
      <c r="V81" s="106"/>
      <c r="W81" s="106"/>
      <c r="X81" s="38"/>
      <c r="Y81" s="311" t="s">
        <v>77</v>
      </c>
      <c r="Z81" s="309">
        <f t="shared" ref="Z81:AM81" si="32">IF($AA$33=1,Z20*0.9/Z$8,Z20/Z$8)</f>
        <v>6.0714285714285712</v>
      </c>
      <c r="AA81" s="262">
        <f t="shared" si="32"/>
        <v>5.7142857142857144</v>
      </c>
      <c r="AB81" s="262">
        <f t="shared" si="32"/>
        <v>12.5</v>
      </c>
      <c r="AC81" s="262">
        <f t="shared" si="32"/>
        <v>8.3333333333333339</v>
      </c>
      <c r="AD81" s="262">
        <f t="shared" si="32"/>
        <v>20</v>
      </c>
      <c r="AE81" s="262">
        <f t="shared" si="32"/>
        <v>4.2105263157894735</v>
      </c>
      <c r="AF81" s="262">
        <f t="shared" si="32"/>
        <v>40</v>
      </c>
      <c r="AG81" s="262">
        <f t="shared" si="32"/>
        <v>4.5925925925925926</v>
      </c>
      <c r="AH81" s="262">
        <f t="shared" si="32"/>
        <v>20</v>
      </c>
      <c r="AI81" s="262">
        <f t="shared" si="32"/>
        <v>4.666666666666667</v>
      </c>
      <c r="AJ81" s="262">
        <f t="shared" si="32"/>
        <v>8.8888888888888892E-2</v>
      </c>
      <c r="AK81" s="262">
        <f t="shared" si="32"/>
        <v>3.5555555555555554</v>
      </c>
      <c r="AL81" s="262">
        <f t="shared" si="32"/>
        <v>12.952380952380953</v>
      </c>
      <c r="AM81" s="263">
        <f t="shared" si="32"/>
        <v>3.52</v>
      </c>
      <c r="AN81" s="298"/>
      <c r="AO81" s="41"/>
      <c r="AP81" s="108"/>
      <c r="AQ81" s="108"/>
    </row>
    <row r="82" spans="1:43" ht="18" customHeight="1" thickBot="1" x14ac:dyDescent="0.3">
      <c r="A82" s="106"/>
      <c r="B82" s="106"/>
      <c r="C82" s="549"/>
      <c r="D82" s="114">
        <f>IF(S77&gt;0,IF(S78&gt;0,(Z6*D77)+(AD6*H77)+IF(G18=1,((AG6*K77)+(AL6*P77))*1.2,((AG6*K77)+(AL6*P77))),0),0)*IF(E18=1,1.2,1)*IF(F18=1,1.1,1)*IF(I18=1,1.1,1)*IF(J19=1,0.9,1)</f>
        <v>0</v>
      </c>
      <c r="E82" s="114">
        <f>IF(S77&gt;0,IF(S78&gt;0,(AC6*G77)+(AE6*I77)+IF(G18=1,((AH6*L77)+(AJ6*N77)+(AM6*Q77))*1.2,(AH6*L77)+(AJ6*N77)+(AM6*Q77)),0),0)*IF(E18=1,1.2,1)*IF(F18=1,1.1,1)*IF(I18=1,1.1,1)*IF(J19=1,0.9,1)</f>
        <v>0</v>
      </c>
      <c r="F82" s="120">
        <f>IF(S77&gt;0,IF(S78&gt;0,(AA6*E77)+(AB6*F77)+(AF6*J77)+IF(G18=1,((AI6*M77)+(AK6*O77))*1.2,(AI6*M77)+(AK6*O77)),0),0)*IF(E18=1,1.2,1)*IF(F18=1,1.1,1)*IF(I18=1,1.1,1)*IF(J19=1,0.9,1)</f>
        <v>0</v>
      </c>
      <c r="G82" s="121">
        <f>SUM(D82:F82)</f>
        <v>0</v>
      </c>
      <c r="H82" s="106"/>
      <c r="I82" s="106"/>
      <c r="J82" s="106"/>
      <c r="K82" s="106"/>
      <c r="L82" s="542"/>
      <c r="M82" s="262">
        <f>(((AN8*R78)+(Z8*D78)+(AA8*E78)+(AB8*F78)+(AC8*G78)+(AD8*H78)+(AE8*I78)+(AF8*J78)+IF(G19=1,((AG8*K78)+(AH8*L78)+(AI8*M78)+(AJ8*N78)+(AK8*O78)+(AL8*P78)+(AM8*Q78))*1.2,(AG8*K78)+(AH8*L78)+(AI8*M78)+(AJ8*N78)+(AK8*O78)+(AL8*P78)+(AM8*Q78)))*IF(H19=1,1.1,1)*(G9/100+1)+(D9*10)+10)*IF(E19=1,1.2,1)*IF(F19=1,1.1,1)*IF(D19=1,2,1)</f>
        <v>10</v>
      </c>
      <c r="N82" s="262">
        <f>(((AN9*R78)+(Z9*D78)+(AA9*E78)+(AB9*F78)+(AC9*G78)+(AD9*H78)+(AE9*I78)+(AF9*J78)+IF(G19=1,((AG9*K78)+(AH9*L78)+(AI9*M78)+(AJ9*N78)+(AK9*O78)+(AL9*P78)+(AM9*Q78))*1.2,(AG9*K78)+(AH9*L78)+(AI9*M78)+(AJ9*N78)+(AK9*O78)+(AL9*P78)+(AM9*Q78)))*IF(H19=1,1.1,1)*(G9/100+1)+(D9*10)+10)*IF(E19=1,1.2,1)*IF(F19=1,1.1,1)*IF(D19=1,2,1)</f>
        <v>10</v>
      </c>
      <c r="O82" s="263">
        <f>(((AN10*R78)+(Z10*D78)+(AA10*E78)+(AB10*F78)+(AC10*G78)+(AD10*H78)+(AE10*I78)+(AF10*J78)+IF(G19=1,((AG10*K78)+(AH10*L78)+(AI10*M78)+(AJ10*N78)+(AK10*O78)+(AL10*P78)+(AM10*Q78))*1.2,(AG10*K78)+(AH10*L78)+(AI10*M78)+(AJ10*N78)+(AK10*O78)+(AL10*P78)+(AM10*Q78)))*IF(H19=1,1.1,1)*(G9/100+1)+(D9*10)+10)*IF(E19=1,1.2,1)*IF(F19=1,1.1,1)*IF(D19=1,2,1)</f>
        <v>10</v>
      </c>
      <c r="P82" s="106"/>
      <c r="Q82" s="106"/>
      <c r="R82" s="108"/>
      <c r="S82" s="106"/>
      <c r="T82" s="106"/>
      <c r="U82" s="106"/>
      <c r="V82" s="106"/>
      <c r="W82" s="106"/>
      <c r="X82" s="38"/>
      <c r="Y82" s="285" t="s">
        <v>47</v>
      </c>
      <c r="Z82" s="310">
        <f t="shared" ref="Z82:AM82" si="33">Z79+Z80+Z81</f>
        <v>12.857142857142858</v>
      </c>
      <c r="AA82" s="271">
        <f t="shared" si="33"/>
        <v>27.857142857142858</v>
      </c>
      <c r="AB82" s="271">
        <f t="shared" si="33"/>
        <v>32.5</v>
      </c>
      <c r="AC82" s="271">
        <f t="shared" si="33"/>
        <v>12.5</v>
      </c>
      <c r="AD82" s="271">
        <f t="shared" si="33"/>
        <v>40</v>
      </c>
      <c r="AE82" s="271">
        <f t="shared" si="33"/>
        <v>12.631578947368421</v>
      </c>
      <c r="AF82" s="271">
        <f t="shared" si="33"/>
        <v>120</v>
      </c>
      <c r="AG82" s="271">
        <f t="shared" si="33"/>
        <v>7.5555555555555554</v>
      </c>
      <c r="AH82" s="271">
        <f t="shared" si="33"/>
        <v>63.529411764705884</v>
      </c>
      <c r="AI82" s="271">
        <f t="shared" si="33"/>
        <v>18.266666666666666</v>
      </c>
      <c r="AJ82" s="271">
        <f t="shared" si="33"/>
        <v>3.6</v>
      </c>
      <c r="AK82" s="271">
        <f t="shared" si="33"/>
        <v>10.116402116402117</v>
      </c>
      <c r="AL82" s="271">
        <f t="shared" si="33"/>
        <v>32</v>
      </c>
      <c r="AM82" s="273">
        <f t="shared" si="33"/>
        <v>11.391999999999999</v>
      </c>
      <c r="AN82" s="298"/>
      <c r="AO82" s="41"/>
      <c r="AP82" s="108"/>
      <c r="AQ82" s="108"/>
    </row>
    <row r="83" spans="1:43" s="99" customFormat="1" ht="18" customHeight="1" thickBot="1" x14ac:dyDescent="0.3">
      <c r="A83" s="260"/>
      <c r="B83" s="260"/>
      <c r="C83" s="122"/>
      <c r="D83" s="123"/>
      <c r="E83" s="124"/>
      <c r="F83" s="125"/>
      <c r="G83" s="104"/>
      <c r="H83" s="260"/>
      <c r="I83" s="260"/>
      <c r="J83" s="260"/>
      <c r="K83" s="260"/>
      <c r="L83" s="259" t="s">
        <v>136</v>
      </c>
      <c r="M83" s="114">
        <f>S89</f>
        <v>0</v>
      </c>
      <c r="N83" s="114">
        <f>S95</f>
        <v>0</v>
      </c>
      <c r="O83" s="115">
        <f>S101</f>
        <v>0</v>
      </c>
      <c r="P83" s="260"/>
      <c r="Q83" s="260"/>
      <c r="R83" s="260"/>
      <c r="S83" s="260"/>
      <c r="T83" s="260"/>
      <c r="U83" s="260"/>
      <c r="V83" s="260"/>
      <c r="W83" s="260"/>
      <c r="X83" s="38"/>
      <c r="Y83" s="166" t="s">
        <v>128</v>
      </c>
      <c r="Z83" s="305">
        <f t="shared" ref="Z83:AM83" si="34">Z8/Z21</f>
        <v>14</v>
      </c>
      <c r="AA83" s="164">
        <f t="shared" si="34"/>
        <v>7</v>
      </c>
      <c r="AB83" s="164">
        <f t="shared" si="34"/>
        <v>6</v>
      </c>
      <c r="AC83" s="164">
        <f t="shared" si="34"/>
        <v>18</v>
      </c>
      <c r="AD83" s="164">
        <f t="shared" si="34"/>
        <v>6</v>
      </c>
      <c r="AE83" s="164">
        <f t="shared" si="34"/>
        <v>19</v>
      </c>
      <c r="AF83" s="164">
        <f t="shared" si="34"/>
        <v>2</v>
      </c>
      <c r="AG83" s="164">
        <f t="shared" si="34"/>
        <v>22.5</v>
      </c>
      <c r="AH83" s="164">
        <f t="shared" si="34"/>
        <v>3.7777777777777777</v>
      </c>
      <c r="AI83" s="164">
        <f t="shared" si="34"/>
        <v>12.5</v>
      </c>
      <c r="AJ83" s="164">
        <f t="shared" si="34"/>
        <v>45</v>
      </c>
      <c r="AK83" s="164">
        <f t="shared" si="34"/>
        <v>23.625</v>
      </c>
      <c r="AL83" s="164">
        <f t="shared" si="34"/>
        <v>7.5</v>
      </c>
      <c r="AM83" s="165">
        <f t="shared" si="34"/>
        <v>34.722222222222221</v>
      </c>
      <c r="AN83" s="298"/>
      <c r="AO83" s="41"/>
      <c r="AP83" s="260"/>
      <c r="AQ83" s="260"/>
    </row>
    <row r="84" spans="1:43" ht="18" customHeight="1" thickBot="1" x14ac:dyDescent="0.3">
      <c r="A84" s="106"/>
      <c r="B84" s="106"/>
      <c r="C84" s="122"/>
      <c r="D84" s="123"/>
      <c r="E84" s="124"/>
      <c r="F84" s="125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8"/>
      <c r="S84" s="106"/>
      <c r="T84" s="106"/>
      <c r="U84" s="106"/>
      <c r="V84" s="106"/>
      <c r="W84" s="106"/>
      <c r="X84" s="3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41"/>
      <c r="AP84" s="108"/>
      <c r="AQ84" s="108"/>
    </row>
    <row r="85" spans="1:43" ht="17.25" customHeight="1" thickBot="1" x14ac:dyDescent="0.3">
      <c r="A85" s="106"/>
      <c r="B85" s="527" t="s">
        <v>49</v>
      </c>
      <c r="C85" s="528"/>
      <c r="D85" s="8" t="s">
        <v>8</v>
      </c>
      <c r="E85" s="12" t="s">
        <v>9</v>
      </c>
      <c r="F85" s="12" t="s">
        <v>10</v>
      </c>
      <c r="G85" s="12" t="s">
        <v>11</v>
      </c>
      <c r="H85" s="12" t="s">
        <v>12</v>
      </c>
      <c r="I85" s="12" t="s">
        <v>13</v>
      </c>
      <c r="J85" s="12" t="s">
        <v>14</v>
      </c>
      <c r="K85" s="12" t="s">
        <v>6</v>
      </c>
      <c r="L85" s="12" t="s">
        <v>7</v>
      </c>
      <c r="M85" s="12" t="s">
        <v>15</v>
      </c>
      <c r="N85" s="12" t="s">
        <v>16</v>
      </c>
      <c r="O85" s="12" t="s">
        <v>17</v>
      </c>
      <c r="P85" s="12" t="s">
        <v>18</v>
      </c>
      <c r="Q85" s="14" t="s">
        <v>19</v>
      </c>
      <c r="R85" s="152" t="s">
        <v>113</v>
      </c>
      <c r="S85" s="529" t="s">
        <v>5</v>
      </c>
      <c r="T85" s="517"/>
      <c r="U85" s="24" t="s">
        <v>51</v>
      </c>
      <c r="V85" s="106"/>
      <c r="W85" s="106"/>
      <c r="X85" s="38"/>
      <c r="Y85" s="592" t="s">
        <v>4</v>
      </c>
      <c r="Z85" s="594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41"/>
      <c r="AP85" s="108"/>
      <c r="AQ85" s="108"/>
    </row>
    <row r="86" spans="1:43" ht="17.25" customHeight="1" x14ac:dyDescent="0.25">
      <c r="A86" s="106"/>
      <c r="B86" s="508" t="s">
        <v>23</v>
      </c>
      <c r="C86" s="9" t="s">
        <v>20</v>
      </c>
      <c r="D86" s="9">
        <f>IF($G$82&gt;0,$D77,0)</f>
        <v>0</v>
      </c>
      <c r="E86" s="530"/>
      <c r="F86" s="530"/>
      <c r="G86" s="530"/>
      <c r="H86" s="9">
        <f>IF($G$82&gt;0,H$77,0)</f>
        <v>0</v>
      </c>
      <c r="I86" s="530"/>
      <c r="J86" s="530"/>
      <c r="K86" s="9">
        <f>IF($G$82&gt;0,K$77,0)</f>
        <v>0</v>
      </c>
      <c r="L86" s="521"/>
      <c r="M86" s="533"/>
      <c r="N86" s="533"/>
      <c r="O86" s="522"/>
      <c r="P86" s="9">
        <f>IF($G$82&gt;0,P$77,0)</f>
        <v>0</v>
      </c>
      <c r="Q86" s="521"/>
      <c r="R86" s="522"/>
      <c r="S86" s="517">
        <f>D82</f>
        <v>0</v>
      </c>
      <c r="T86" s="518"/>
      <c r="U86" s="499">
        <f>S86-S89</f>
        <v>0</v>
      </c>
      <c r="V86" s="106"/>
      <c r="W86" s="106"/>
      <c r="X86" s="38"/>
      <c r="Y86" s="275" t="s">
        <v>75</v>
      </c>
      <c r="Z86" s="134">
        <f t="shared" ref="Z86:AM86" si="35">IF($AA$33=1,Z18*0.9/Z$9,Z18/Z$9)</f>
        <v>11.875</v>
      </c>
      <c r="AA86" s="278">
        <f t="shared" si="35"/>
        <v>6.875</v>
      </c>
      <c r="AB86" s="278">
        <f t="shared" si="35"/>
        <v>4.8</v>
      </c>
      <c r="AC86" s="278">
        <f t="shared" si="35"/>
        <v>0</v>
      </c>
      <c r="AD86" s="278">
        <f t="shared" si="35"/>
        <v>240</v>
      </c>
      <c r="AE86" s="278">
        <f t="shared" si="35"/>
        <v>12.5</v>
      </c>
      <c r="AF86" s="278">
        <f t="shared" si="35"/>
        <v>40</v>
      </c>
      <c r="AG86" s="278">
        <f t="shared" si="35"/>
        <v>4.666666666666667</v>
      </c>
      <c r="AH86" s="278">
        <f t="shared" si="35"/>
        <v>19.555555555555557</v>
      </c>
      <c r="AI86" s="278">
        <f t="shared" si="35"/>
        <v>3.8666666666666667</v>
      </c>
      <c r="AJ86" s="278">
        <f t="shared" si="35"/>
        <v>11.2</v>
      </c>
      <c r="AK86" s="278">
        <f t="shared" si="35"/>
        <v>200</v>
      </c>
      <c r="AL86" s="278">
        <f t="shared" si="35"/>
        <v>22.857142857142858</v>
      </c>
      <c r="AM86" s="287">
        <f t="shared" si="35"/>
        <v>3.4482758620689653</v>
      </c>
      <c r="AN86" s="298"/>
      <c r="AO86" s="41"/>
      <c r="AP86" s="108"/>
      <c r="AQ86" s="108"/>
    </row>
    <row r="87" spans="1:43" ht="17.25" customHeight="1" x14ac:dyDescent="0.25">
      <c r="A87" s="106"/>
      <c r="B87" s="509"/>
      <c r="C87" s="10" t="s">
        <v>48</v>
      </c>
      <c r="D87" s="19">
        <f>IF(D86=0,0,IF($U$86&gt;0,-D86*($S$89/$S$86)^1.2,-D86))</f>
        <v>0</v>
      </c>
      <c r="E87" s="512"/>
      <c r="F87" s="512"/>
      <c r="G87" s="512"/>
      <c r="H87" s="19">
        <f>IF(H86=0,0,IF($U$86&gt;0,-H86*($S$89/$S$86)^1.2,-H86))</f>
        <v>0</v>
      </c>
      <c r="I87" s="512"/>
      <c r="J87" s="512"/>
      <c r="K87" s="19">
        <f>IF(K86=0,0,IF($U$86&gt;0,-K86*($S$89/$S$86)^1.2,-K86))</f>
        <v>0</v>
      </c>
      <c r="L87" s="523"/>
      <c r="M87" s="534"/>
      <c r="N87" s="534"/>
      <c r="O87" s="524"/>
      <c r="P87" s="19">
        <f>IF(P86=0,0,IF($U$86&gt;0,-P86*($S$89/$S$86)^1.2,-P86))</f>
        <v>0</v>
      </c>
      <c r="Q87" s="523"/>
      <c r="R87" s="524"/>
      <c r="S87" s="504"/>
      <c r="T87" s="505"/>
      <c r="U87" s="500"/>
      <c r="V87" s="106"/>
      <c r="W87" s="106"/>
      <c r="X87" s="38"/>
      <c r="Y87" s="306" t="s">
        <v>76</v>
      </c>
      <c r="Z87" s="303">
        <f t="shared" ref="Z87:AM87" si="36">IF($AA$33=1,Z19*0.9/Z$9,Z19/Z$9)</f>
        <v>0</v>
      </c>
      <c r="AA87" s="291">
        <f t="shared" si="36"/>
        <v>12.5</v>
      </c>
      <c r="AB87" s="291">
        <f t="shared" si="36"/>
        <v>0</v>
      </c>
      <c r="AC87" s="291">
        <f t="shared" si="36"/>
        <v>6.25</v>
      </c>
      <c r="AD87" s="291">
        <f t="shared" si="36"/>
        <v>120</v>
      </c>
      <c r="AE87" s="291">
        <f t="shared" si="36"/>
        <v>27.5</v>
      </c>
      <c r="AF87" s="291">
        <f t="shared" si="36"/>
        <v>40</v>
      </c>
      <c r="AG87" s="291">
        <f t="shared" si="36"/>
        <v>2</v>
      </c>
      <c r="AH87" s="291">
        <f t="shared" si="36"/>
        <v>13.333333333333334</v>
      </c>
      <c r="AI87" s="291">
        <f t="shared" si="36"/>
        <v>0.66666666666666663</v>
      </c>
      <c r="AJ87" s="291">
        <f t="shared" si="36"/>
        <v>1.44</v>
      </c>
      <c r="AK87" s="291">
        <f t="shared" si="36"/>
        <v>420</v>
      </c>
      <c r="AL87" s="291">
        <f t="shared" si="36"/>
        <v>5.7142857142857144</v>
      </c>
      <c r="AM87" s="295">
        <f t="shared" si="36"/>
        <v>7.8620689655172411</v>
      </c>
      <c r="AN87" s="298"/>
      <c r="AO87" s="41"/>
      <c r="AP87" s="108"/>
      <c r="AQ87" s="108"/>
    </row>
    <row r="88" spans="1:43" ht="17.25" customHeight="1" thickBot="1" x14ac:dyDescent="0.3">
      <c r="A88" s="106"/>
      <c r="B88" s="509"/>
      <c r="C88" s="10" t="s">
        <v>44</v>
      </c>
      <c r="D88" s="22">
        <f>D86+D87</f>
        <v>0</v>
      </c>
      <c r="E88" s="512"/>
      <c r="F88" s="512"/>
      <c r="G88" s="512"/>
      <c r="H88" s="22">
        <f>H86+H87</f>
        <v>0</v>
      </c>
      <c r="I88" s="512"/>
      <c r="J88" s="512"/>
      <c r="K88" s="22">
        <f>K86+K87</f>
        <v>0</v>
      </c>
      <c r="L88" s="525"/>
      <c r="M88" s="535"/>
      <c r="N88" s="535"/>
      <c r="O88" s="526"/>
      <c r="P88" s="22">
        <f>P86+P87</f>
        <v>0</v>
      </c>
      <c r="Q88" s="525"/>
      <c r="R88" s="526"/>
      <c r="S88" s="519"/>
      <c r="T88" s="520"/>
      <c r="U88" s="500"/>
      <c r="V88" s="106"/>
      <c r="W88" s="106"/>
      <c r="X88" s="38"/>
      <c r="Y88" s="307" t="s">
        <v>77</v>
      </c>
      <c r="Z88" s="304">
        <f t="shared" ref="Z88:AM88" si="37">IF($AA$33=1,Z20*0.9/Z$9,Z20/Z$9)</f>
        <v>10.625</v>
      </c>
      <c r="AA88" s="102">
        <f t="shared" si="37"/>
        <v>5</v>
      </c>
      <c r="AB88" s="102">
        <f t="shared" si="37"/>
        <v>3</v>
      </c>
      <c r="AC88" s="102">
        <f t="shared" si="37"/>
        <v>12.5</v>
      </c>
      <c r="AD88" s="102">
        <f t="shared" si="37"/>
        <v>360</v>
      </c>
      <c r="AE88" s="102">
        <f t="shared" si="37"/>
        <v>20</v>
      </c>
      <c r="AF88" s="102">
        <f t="shared" si="37"/>
        <v>40</v>
      </c>
      <c r="AG88" s="102">
        <f t="shared" si="37"/>
        <v>10.333333333333334</v>
      </c>
      <c r="AH88" s="102">
        <f t="shared" si="37"/>
        <v>15.111111111111111</v>
      </c>
      <c r="AI88" s="102">
        <f t="shared" si="37"/>
        <v>1.5555555555555556</v>
      </c>
      <c r="AJ88" s="102">
        <f t="shared" si="37"/>
        <v>0.32</v>
      </c>
      <c r="AK88" s="102">
        <f t="shared" si="37"/>
        <v>336</v>
      </c>
      <c r="AL88" s="102">
        <f t="shared" si="37"/>
        <v>19.428571428571427</v>
      </c>
      <c r="AM88" s="103">
        <f t="shared" si="37"/>
        <v>5.0574712643678161</v>
      </c>
      <c r="AN88" s="298"/>
      <c r="AO88" s="41"/>
      <c r="AP88" s="108"/>
      <c r="AQ88" s="108"/>
    </row>
    <row r="89" spans="1:43" ht="17.25" thickBot="1" x14ac:dyDescent="0.3">
      <c r="A89" s="106"/>
      <c r="B89" s="509"/>
      <c r="C89" s="10" t="s">
        <v>21</v>
      </c>
      <c r="D89" s="10">
        <f>IF($D$82=0,0,($D$82/$G$82*D78))</f>
        <v>0</v>
      </c>
      <c r="E89" s="18">
        <f t="shared" ref="E89:Q89" si="38">IF($D$82=0,0,($D$82/$G$82*E78))</f>
        <v>0</v>
      </c>
      <c r="F89" s="18">
        <f t="shared" si="38"/>
        <v>0</v>
      </c>
      <c r="G89" s="18">
        <f t="shared" si="38"/>
        <v>0</v>
      </c>
      <c r="H89" s="18">
        <f t="shared" si="38"/>
        <v>0</v>
      </c>
      <c r="I89" s="18">
        <f t="shared" si="38"/>
        <v>0</v>
      </c>
      <c r="J89" s="18">
        <f t="shared" si="38"/>
        <v>0</v>
      </c>
      <c r="K89" s="18">
        <f t="shared" si="38"/>
        <v>0</v>
      </c>
      <c r="L89" s="18">
        <f t="shared" si="38"/>
        <v>0</v>
      </c>
      <c r="M89" s="18">
        <f t="shared" si="38"/>
        <v>0</v>
      </c>
      <c r="N89" s="18">
        <f t="shared" si="38"/>
        <v>0</v>
      </c>
      <c r="O89" s="18">
        <f t="shared" si="38"/>
        <v>0</v>
      </c>
      <c r="P89" s="18">
        <f t="shared" si="38"/>
        <v>0</v>
      </c>
      <c r="Q89" s="18">
        <f t="shared" si="38"/>
        <v>0</v>
      </c>
      <c r="R89" s="34">
        <f t="shared" ref="R89" si="39">IF($D$82=0,0,($D$82/$G$82*R78))</f>
        <v>0</v>
      </c>
      <c r="S89" s="502">
        <f>IF(D$82&gt;0,$G$82/$D$82*M$82,0)</f>
        <v>0</v>
      </c>
      <c r="T89" s="503"/>
      <c r="U89" s="500"/>
      <c r="V89" s="106"/>
      <c r="W89" s="106"/>
      <c r="X89" s="38"/>
      <c r="Y89" s="313" t="s">
        <v>47</v>
      </c>
      <c r="Z89" s="312">
        <f>Z86+Z87+Z88</f>
        <v>22.5</v>
      </c>
      <c r="AA89" s="296">
        <f t="shared" ref="AA89:AM89" si="40">AA86+AA87+AA88</f>
        <v>24.375</v>
      </c>
      <c r="AB89" s="296">
        <f t="shared" si="40"/>
        <v>7.8</v>
      </c>
      <c r="AC89" s="296">
        <f t="shared" si="40"/>
        <v>18.75</v>
      </c>
      <c r="AD89" s="296">
        <f t="shared" si="40"/>
        <v>720</v>
      </c>
      <c r="AE89" s="296">
        <f t="shared" si="40"/>
        <v>60</v>
      </c>
      <c r="AF89" s="296">
        <f t="shared" si="40"/>
        <v>120</v>
      </c>
      <c r="AG89" s="296">
        <f t="shared" si="40"/>
        <v>17</v>
      </c>
      <c r="AH89" s="296">
        <f t="shared" si="40"/>
        <v>48</v>
      </c>
      <c r="AI89" s="296">
        <f t="shared" si="40"/>
        <v>6.0888888888888886</v>
      </c>
      <c r="AJ89" s="296">
        <f t="shared" si="40"/>
        <v>12.959999999999999</v>
      </c>
      <c r="AK89" s="296">
        <f t="shared" si="40"/>
        <v>956</v>
      </c>
      <c r="AL89" s="296">
        <f t="shared" si="40"/>
        <v>48</v>
      </c>
      <c r="AM89" s="297">
        <f t="shared" si="40"/>
        <v>16.367816091954023</v>
      </c>
      <c r="AN89" s="298"/>
      <c r="AO89" s="41"/>
      <c r="AP89" s="108"/>
      <c r="AQ89" s="108"/>
    </row>
    <row r="90" spans="1:43" ht="17.25" customHeight="1" thickBot="1" x14ac:dyDescent="0.3">
      <c r="A90" s="106"/>
      <c r="B90" s="509"/>
      <c r="C90" s="10" t="s">
        <v>48</v>
      </c>
      <c r="D90" s="19">
        <f>IF(D89=S393,0,IF($U$86&lt;0,-D89*($S$86/$S$89)^1.2,-D89))</f>
        <v>0</v>
      </c>
      <c r="E90" s="19">
        <f t="shared" ref="E90:R90" si="41">IF(E89=T393,0,IF($U$86&lt;0,-E89*($S$86/$S$89)^1.2,-E89))</f>
        <v>0</v>
      </c>
      <c r="F90" s="19">
        <f t="shared" si="41"/>
        <v>0</v>
      </c>
      <c r="G90" s="19">
        <f t="shared" si="41"/>
        <v>0</v>
      </c>
      <c r="H90" s="19">
        <f t="shared" si="41"/>
        <v>0</v>
      </c>
      <c r="I90" s="19">
        <f t="shared" si="41"/>
        <v>0</v>
      </c>
      <c r="J90" s="19">
        <f t="shared" si="41"/>
        <v>0</v>
      </c>
      <c r="K90" s="19">
        <f t="shared" si="41"/>
        <v>0</v>
      </c>
      <c r="L90" s="19">
        <f t="shared" si="41"/>
        <v>0</v>
      </c>
      <c r="M90" s="19">
        <f t="shared" si="41"/>
        <v>0</v>
      </c>
      <c r="N90" s="19">
        <f t="shared" si="41"/>
        <v>0</v>
      </c>
      <c r="O90" s="19">
        <f t="shared" si="41"/>
        <v>0</v>
      </c>
      <c r="P90" s="19">
        <f t="shared" si="41"/>
        <v>0</v>
      </c>
      <c r="Q90" s="19">
        <f t="shared" si="41"/>
        <v>0</v>
      </c>
      <c r="R90" s="19">
        <f t="shared" si="41"/>
        <v>0</v>
      </c>
      <c r="S90" s="504"/>
      <c r="T90" s="505"/>
      <c r="U90" s="500"/>
      <c r="V90" s="106"/>
      <c r="W90" s="106"/>
      <c r="X90" s="38"/>
      <c r="Y90" s="56" t="s">
        <v>128</v>
      </c>
      <c r="Z90" s="223">
        <f t="shared" ref="Z90:AM90" si="42">Z9/Z21</f>
        <v>8</v>
      </c>
      <c r="AA90" s="100">
        <f t="shared" si="42"/>
        <v>8</v>
      </c>
      <c r="AB90" s="100">
        <f t="shared" si="42"/>
        <v>25</v>
      </c>
      <c r="AC90" s="100">
        <f t="shared" si="42"/>
        <v>12</v>
      </c>
      <c r="AD90" s="100">
        <f t="shared" si="42"/>
        <v>0.33333333333333331</v>
      </c>
      <c r="AE90" s="100">
        <f t="shared" si="42"/>
        <v>4</v>
      </c>
      <c r="AF90" s="100">
        <f t="shared" si="42"/>
        <v>2</v>
      </c>
      <c r="AG90" s="100">
        <f t="shared" si="42"/>
        <v>10</v>
      </c>
      <c r="AH90" s="100">
        <f t="shared" si="42"/>
        <v>5</v>
      </c>
      <c r="AI90" s="100">
        <f t="shared" si="42"/>
        <v>37.5</v>
      </c>
      <c r="AJ90" s="100">
        <f t="shared" si="42"/>
        <v>12.5</v>
      </c>
      <c r="AK90" s="100">
        <f t="shared" si="42"/>
        <v>0.25</v>
      </c>
      <c r="AL90" s="100">
        <f t="shared" si="42"/>
        <v>5</v>
      </c>
      <c r="AM90" s="45">
        <f t="shared" si="42"/>
        <v>24.166666666666668</v>
      </c>
      <c r="AN90" s="298"/>
      <c r="AO90" s="41"/>
      <c r="AP90" s="108"/>
      <c r="AQ90" s="108"/>
    </row>
    <row r="91" spans="1:43" ht="17.25" customHeight="1" thickBot="1" x14ac:dyDescent="0.3">
      <c r="A91" s="106"/>
      <c r="B91" s="510"/>
      <c r="C91" s="11" t="s">
        <v>44</v>
      </c>
      <c r="D91" s="25">
        <f>D89+D90</f>
        <v>0</v>
      </c>
      <c r="E91" s="25">
        <f t="shared" ref="E91" si="43">E89+E90</f>
        <v>0</v>
      </c>
      <c r="F91" s="25">
        <f t="shared" ref="F91" si="44">F89+F90</f>
        <v>0</v>
      </c>
      <c r="G91" s="25">
        <f t="shared" ref="G91" si="45">G89+G90</f>
        <v>0</v>
      </c>
      <c r="H91" s="25">
        <f t="shared" ref="H91" si="46">H89+H90</f>
        <v>0</v>
      </c>
      <c r="I91" s="25">
        <f t="shared" ref="I91" si="47">I89+I90</f>
        <v>0</v>
      </c>
      <c r="J91" s="25">
        <f t="shared" ref="J91" si="48">J89+J90</f>
        <v>0</v>
      </c>
      <c r="K91" s="25">
        <f t="shared" ref="K91" si="49">K89+K90</f>
        <v>0</v>
      </c>
      <c r="L91" s="25">
        <f t="shared" ref="L91" si="50">L89+L90</f>
        <v>0</v>
      </c>
      <c r="M91" s="25">
        <f t="shared" ref="M91" si="51">M89+M90</f>
        <v>0</v>
      </c>
      <c r="N91" s="25">
        <f t="shared" ref="N91" si="52">N89+N90</f>
        <v>0</v>
      </c>
      <c r="O91" s="25">
        <f t="shared" ref="O91" si="53">O89+O90</f>
        <v>0</v>
      </c>
      <c r="P91" s="25">
        <f t="shared" ref="P91" si="54">P89+P90</f>
        <v>0</v>
      </c>
      <c r="Q91" s="25">
        <f t="shared" ref="Q91:R91" si="55">Q89+Q90</f>
        <v>0</v>
      </c>
      <c r="R91" s="25">
        <f t="shared" si="55"/>
        <v>0</v>
      </c>
      <c r="S91" s="506"/>
      <c r="T91" s="507"/>
      <c r="U91" s="501"/>
      <c r="V91" s="106"/>
      <c r="W91" s="106"/>
      <c r="X91" s="3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41"/>
      <c r="AP91" s="108"/>
      <c r="AQ91" s="108"/>
    </row>
    <row r="92" spans="1:43" ht="17.25" thickBot="1" x14ac:dyDescent="0.3">
      <c r="A92" s="106"/>
      <c r="B92" s="508" t="s">
        <v>24</v>
      </c>
      <c r="C92" s="13" t="s">
        <v>20</v>
      </c>
      <c r="D92" s="511"/>
      <c r="E92" s="511"/>
      <c r="F92" s="511"/>
      <c r="G92" s="9">
        <f>IF($G$82&gt;0,G$77,0)</f>
        <v>0</v>
      </c>
      <c r="H92" s="511"/>
      <c r="I92" s="9">
        <f>IF($G$82&gt;0,I$77,0)</f>
        <v>0</v>
      </c>
      <c r="J92" s="511"/>
      <c r="K92" s="511"/>
      <c r="L92" s="9">
        <f>IF($G$82&gt;0,L$77,0)</f>
        <v>0</v>
      </c>
      <c r="M92" s="513"/>
      <c r="N92" s="9">
        <f>IF($G$82&gt;0,N$77,0)</f>
        <v>0</v>
      </c>
      <c r="O92" s="521"/>
      <c r="P92" s="522"/>
      <c r="Q92" s="9">
        <f>IF($G$82&gt;0,Q$77,0)</f>
        <v>0</v>
      </c>
      <c r="R92" s="515"/>
      <c r="S92" s="517">
        <f>E82</f>
        <v>0</v>
      </c>
      <c r="T92" s="518"/>
      <c r="U92" s="499">
        <f>S92-S95</f>
        <v>0</v>
      </c>
      <c r="V92" s="106"/>
      <c r="W92" s="106"/>
      <c r="X92" s="38"/>
      <c r="Y92" s="592" t="s">
        <v>3</v>
      </c>
      <c r="Z92" s="594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41"/>
      <c r="AP92" s="108"/>
      <c r="AQ92" s="108"/>
    </row>
    <row r="93" spans="1:43" x14ac:dyDescent="0.25">
      <c r="A93" s="106"/>
      <c r="B93" s="509"/>
      <c r="C93" s="10" t="s">
        <v>48</v>
      </c>
      <c r="D93" s="512"/>
      <c r="E93" s="512"/>
      <c r="F93" s="512"/>
      <c r="G93" s="19">
        <f>IF(G92=0,0,IF($U$92&gt;0,-G92*($S$95/$S$92)^1.2,-G92))</f>
        <v>0</v>
      </c>
      <c r="H93" s="512"/>
      <c r="I93" s="19">
        <f>IF(I92=0,0,IF($U$92&gt;0,-I92*($S$95/$S$92)^1.2,-I92))</f>
        <v>0</v>
      </c>
      <c r="J93" s="512"/>
      <c r="K93" s="512"/>
      <c r="L93" s="19">
        <f>IF(L92=0,0,IF($U$92&gt;0,-L92*($S$95/$S$92)^1.2,-L92))</f>
        <v>0</v>
      </c>
      <c r="M93" s="514"/>
      <c r="N93" s="19">
        <f>IF(N92=0,0,IF($U$92&gt;0,-N92*($S$95/$S$92)^1.2,-N92))</f>
        <v>0</v>
      </c>
      <c r="O93" s="523"/>
      <c r="P93" s="524"/>
      <c r="Q93" s="19">
        <f>IF(Q92=0,0,IF($U$92&gt;0,-Q92*($S$95/$S$92)^1.2,-Q92))</f>
        <v>0</v>
      </c>
      <c r="R93" s="516"/>
      <c r="S93" s="504"/>
      <c r="T93" s="505"/>
      <c r="U93" s="500"/>
      <c r="V93" s="106"/>
      <c r="W93" s="106"/>
      <c r="X93" s="38"/>
      <c r="Y93" s="119" t="s">
        <v>75</v>
      </c>
      <c r="Z93" s="308">
        <f t="shared" ref="Z93:AM93" si="56">IF($AA$33=1,Z18*0.9/Z$10,Z18/Z$10)</f>
        <v>3.1666666666666665</v>
      </c>
      <c r="AA93" s="290">
        <f t="shared" si="56"/>
        <v>27.5</v>
      </c>
      <c r="AB93" s="290">
        <f t="shared" si="56"/>
        <v>10</v>
      </c>
      <c r="AC93" s="290">
        <f t="shared" si="56"/>
        <v>0</v>
      </c>
      <c r="AD93" s="290">
        <f t="shared" si="56"/>
        <v>10</v>
      </c>
      <c r="AE93" s="290">
        <f t="shared" si="56"/>
        <v>3.5714285714285716</v>
      </c>
      <c r="AF93" s="290">
        <f t="shared" si="56"/>
        <v>40</v>
      </c>
      <c r="AG93" s="290">
        <f t="shared" si="56"/>
        <v>2.5</v>
      </c>
      <c r="AH93" s="290">
        <f t="shared" si="56"/>
        <v>8.7128712871287135</v>
      </c>
      <c r="AI93" s="290">
        <f t="shared" si="56"/>
        <v>29</v>
      </c>
      <c r="AJ93" s="290">
        <f t="shared" si="56"/>
        <v>9.3333333333333339</v>
      </c>
      <c r="AK93" s="290">
        <f t="shared" si="56"/>
        <v>1.5267175572519085</v>
      </c>
      <c r="AL93" s="290">
        <f t="shared" si="56"/>
        <v>1600</v>
      </c>
      <c r="AM93" s="294">
        <f t="shared" si="56"/>
        <v>4</v>
      </c>
      <c r="AN93" s="298"/>
      <c r="AO93" s="41"/>
      <c r="AP93" s="108"/>
      <c r="AQ93" s="108"/>
    </row>
    <row r="94" spans="1:43" x14ac:dyDescent="0.25">
      <c r="A94" s="106"/>
      <c r="B94" s="509"/>
      <c r="C94" s="10" t="s">
        <v>44</v>
      </c>
      <c r="D94" s="512"/>
      <c r="E94" s="512"/>
      <c r="F94" s="512"/>
      <c r="G94" s="22">
        <f>G92+G93</f>
        <v>0</v>
      </c>
      <c r="H94" s="512"/>
      <c r="I94" s="22">
        <f>I92+I93</f>
        <v>0</v>
      </c>
      <c r="J94" s="512"/>
      <c r="K94" s="512"/>
      <c r="L94" s="22">
        <f>L92+L93</f>
        <v>0</v>
      </c>
      <c r="M94" s="514"/>
      <c r="N94" s="22">
        <f>N92+N93</f>
        <v>0</v>
      </c>
      <c r="O94" s="525"/>
      <c r="P94" s="526"/>
      <c r="Q94" s="22">
        <f>Q92+Q93</f>
        <v>0</v>
      </c>
      <c r="R94" s="511"/>
      <c r="S94" s="519"/>
      <c r="T94" s="520"/>
      <c r="U94" s="500"/>
      <c r="V94" s="106"/>
      <c r="W94" s="106"/>
      <c r="X94" s="38"/>
      <c r="Y94" s="60" t="s">
        <v>76</v>
      </c>
      <c r="Z94" s="283">
        <f t="shared" ref="Z94:AM94" si="57">IF($AA$33=1,Z19*0.9/Z$10,Z19/Z$10)</f>
        <v>0</v>
      </c>
      <c r="AA94" s="279">
        <f t="shared" si="57"/>
        <v>50</v>
      </c>
      <c r="AB94" s="279">
        <f t="shared" si="57"/>
        <v>0</v>
      </c>
      <c r="AC94" s="279">
        <f t="shared" si="57"/>
        <v>10.714285714285714</v>
      </c>
      <c r="AD94" s="279">
        <f t="shared" si="57"/>
        <v>5</v>
      </c>
      <c r="AE94" s="279">
        <f t="shared" si="57"/>
        <v>7.8571428571428568</v>
      </c>
      <c r="AF94" s="279">
        <f t="shared" si="57"/>
        <v>40</v>
      </c>
      <c r="AG94" s="279">
        <f t="shared" si="57"/>
        <v>1.0714285714285714</v>
      </c>
      <c r="AH94" s="279">
        <f t="shared" si="57"/>
        <v>5.9405940594059405</v>
      </c>
      <c r="AI94" s="279">
        <f t="shared" si="57"/>
        <v>5</v>
      </c>
      <c r="AJ94" s="279">
        <f t="shared" si="57"/>
        <v>1.2</v>
      </c>
      <c r="AK94" s="279">
        <f t="shared" si="57"/>
        <v>3.2061068702290076</v>
      </c>
      <c r="AL94" s="279">
        <f t="shared" si="57"/>
        <v>400</v>
      </c>
      <c r="AM94" s="288">
        <f t="shared" si="57"/>
        <v>9.1199999999999992</v>
      </c>
      <c r="AN94" s="298"/>
      <c r="AO94" s="41"/>
      <c r="AP94" s="108"/>
      <c r="AQ94" s="108"/>
    </row>
    <row r="95" spans="1:43" ht="17.25" thickBot="1" x14ac:dyDescent="0.3">
      <c r="A95" s="106"/>
      <c r="B95" s="509"/>
      <c r="C95" s="10" t="s">
        <v>21</v>
      </c>
      <c r="D95" s="10">
        <f>IF($E$82=0,0,$E$82/$G$82*D78)</f>
        <v>0</v>
      </c>
      <c r="E95" s="18">
        <f t="shared" ref="E95:Q95" si="58">IF($E$82=0,0,$E$82/$G$82*E78)</f>
        <v>0</v>
      </c>
      <c r="F95" s="18">
        <f t="shared" si="58"/>
        <v>0</v>
      </c>
      <c r="G95" s="18">
        <f t="shared" si="58"/>
        <v>0</v>
      </c>
      <c r="H95" s="18">
        <f t="shared" si="58"/>
        <v>0</v>
      </c>
      <c r="I95" s="18">
        <f t="shared" si="58"/>
        <v>0</v>
      </c>
      <c r="J95" s="18">
        <f t="shared" si="58"/>
        <v>0</v>
      </c>
      <c r="K95" s="18">
        <f t="shared" si="58"/>
        <v>0</v>
      </c>
      <c r="L95" s="18">
        <f t="shared" si="58"/>
        <v>0</v>
      </c>
      <c r="M95" s="18">
        <f t="shared" si="58"/>
        <v>0</v>
      </c>
      <c r="N95" s="18">
        <f t="shared" si="58"/>
        <v>0</v>
      </c>
      <c r="O95" s="18">
        <f t="shared" si="58"/>
        <v>0</v>
      </c>
      <c r="P95" s="18">
        <f t="shared" si="58"/>
        <v>0</v>
      </c>
      <c r="Q95" s="18">
        <f t="shared" si="58"/>
        <v>0</v>
      </c>
      <c r="R95" s="34">
        <f t="shared" ref="R95" si="59">IF($E$82=0,0,$E$82/$G$82*R78)</f>
        <v>0</v>
      </c>
      <c r="S95" s="502">
        <f>IF(E$82&gt;0,$G$82/$E$82*N$82,0)</f>
        <v>0</v>
      </c>
      <c r="T95" s="503"/>
      <c r="U95" s="500"/>
      <c r="V95" s="106"/>
      <c r="W95" s="106"/>
      <c r="X95" s="38"/>
      <c r="Y95" s="311" t="s">
        <v>77</v>
      </c>
      <c r="Z95" s="309">
        <f t="shared" ref="Z95:AM95" si="60">IF($AA$33=1,Z20*0.9/Z$10,Z20/Z$10)</f>
        <v>2.8333333333333335</v>
      </c>
      <c r="AA95" s="262">
        <f t="shared" si="60"/>
        <v>20</v>
      </c>
      <c r="AB95" s="262">
        <f t="shared" si="60"/>
        <v>6.25</v>
      </c>
      <c r="AC95" s="262">
        <f t="shared" si="60"/>
        <v>21.428571428571427</v>
      </c>
      <c r="AD95" s="262">
        <f t="shared" si="60"/>
        <v>15</v>
      </c>
      <c r="AE95" s="262">
        <f t="shared" si="60"/>
        <v>5.7142857142857144</v>
      </c>
      <c r="AF95" s="262">
        <f t="shared" si="60"/>
        <v>40</v>
      </c>
      <c r="AG95" s="262">
        <f t="shared" si="60"/>
        <v>5.5357142857142856</v>
      </c>
      <c r="AH95" s="262">
        <f t="shared" si="60"/>
        <v>6.7326732673267324</v>
      </c>
      <c r="AI95" s="262">
        <f t="shared" si="60"/>
        <v>11.666666666666666</v>
      </c>
      <c r="AJ95" s="262">
        <f t="shared" si="60"/>
        <v>0.26666666666666666</v>
      </c>
      <c r="AK95" s="262">
        <f t="shared" si="60"/>
        <v>2.5648854961832059</v>
      </c>
      <c r="AL95" s="262">
        <f t="shared" si="60"/>
        <v>1360</v>
      </c>
      <c r="AM95" s="263">
        <f t="shared" si="60"/>
        <v>5.8666666666666663</v>
      </c>
      <c r="AN95" s="298"/>
      <c r="AO95" s="41"/>
      <c r="AP95" s="108"/>
      <c r="AQ95" s="108"/>
    </row>
    <row r="96" spans="1:43" ht="17.25" thickBot="1" x14ac:dyDescent="0.3">
      <c r="A96" s="106"/>
      <c r="B96" s="509"/>
      <c r="C96" s="10" t="s">
        <v>48</v>
      </c>
      <c r="D96" s="19">
        <f t="shared" ref="D96:R96" si="61">IF(D95=S399,0,IF($U$92&lt;0,-D95*($S$92/$S$95)^1.2,-D95))</f>
        <v>0</v>
      </c>
      <c r="E96" s="19">
        <f t="shared" si="61"/>
        <v>0</v>
      </c>
      <c r="F96" s="19">
        <f t="shared" si="61"/>
        <v>0</v>
      </c>
      <c r="G96" s="19">
        <f t="shared" si="61"/>
        <v>0</v>
      </c>
      <c r="H96" s="19">
        <f t="shared" si="61"/>
        <v>0</v>
      </c>
      <c r="I96" s="19">
        <f t="shared" si="61"/>
        <v>0</v>
      </c>
      <c r="J96" s="19">
        <f t="shared" si="61"/>
        <v>0</v>
      </c>
      <c r="K96" s="19">
        <f t="shared" si="61"/>
        <v>0</v>
      </c>
      <c r="L96" s="19">
        <f t="shared" si="61"/>
        <v>0</v>
      </c>
      <c r="M96" s="19">
        <f t="shared" si="61"/>
        <v>0</v>
      </c>
      <c r="N96" s="19">
        <f t="shared" si="61"/>
        <v>0</v>
      </c>
      <c r="O96" s="19">
        <f t="shared" si="61"/>
        <v>0</v>
      </c>
      <c r="P96" s="19">
        <f t="shared" si="61"/>
        <v>0</v>
      </c>
      <c r="Q96" s="19">
        <f t="shared" si="61"/>
        <v>0</v>
      </c>
      <c r="R96" s="19">
        <f t="shared" si="61"/>
        <v>0</v>
      </c>
      <c r="S96" s="504"/>
      <c r="T96" s="505"/>
      <c r="U96" s="500"/>
      <c r="V96" s="106"/>
      <c r="W96" s="106"/>
      <c r="X96" s="38"/>
      <c r="Y96" s="285" t="s">
        <v>47</v>
      </c>
      <c r="Z96" s="310">
        <f>Z93+Z94+Z95</f>
        <v>6</v>
      </c>
      <c r="AA96" s="271">
        <f t="shared" ref="AA96:AM96" si="62">AA93+AA94+AA95</f>
        <v>97.5</v>
      </c>
      <c r="AB96" s="271">
        <f t="shared" si="62"/>
        <v>16.25</v>
      </c>
      <c r="AC96" s="271">
        <f t="shared" si="62"/>
        <v>32.142857142857139</v>
      </c>
      <c r="AD96" s="271">
        <f t="shared" si="62"/>
        <v>30</v>
      </c>
      <c r="AE96" s="271">
        <f t="shared" si="62"/>
        <v>17.142857142857142</v>
      </c>
      <c r="AF96" s="271">
        <f t="shared" si="62"/>
        <v>120</v>
      </c>
      <c r="AG96" s="271">
        <f t="shared" si="62"/>
        <v>9.1071428571428577</v>
      </c>
      <c r="AH96" s="271">
        <f t="shared" si="62"/>
        <v>21.386138613861387</v>
      </c>
      <c r="AI96" s="271">
        <f t="shared" si="62"/>
        <v>45.666666666666664</v>
      </c>
      <c r="AJ96" s="271">
        <f t="shared" si="62"/>
        <v>10.8</v>
      </c>
      <c r="AK96" s="271">
        <f t="shared" si="62"/>
        <v>7.2977099236641223</v>
      </c>
      <c r="AL96" s="271">
        <f t="shared" si="62"/>
        <v>3360</v>
      </c>
      <c r="AM96" s="273">
        <f t="shared" si="62"/>
        <v>18.986666666666665</v>
      </c>
      <c r="AN96" s="298"/>
      <c r="AO96" s="41"/>
      <c r="AP96" s="108"/>
      <c r="AQ96" s="108"/>
    </row>
    <row r="97" spans="1:43" ht="17.25" thickBot="1" x14ac:dyDescent="0.3">
      <c r="A97" s="106"/>
      <c r="B97" s="510"/>
      <c r="C97" s="3" t="s">
        <v>44</v>
      </c>
      <c r="D97" s="23">
        <f>D95+D96</f>
        <v>0</v>
      </c>
      <c r="E97" s="23">
        <f t="shared" ref="E97" si="63">E95+E96</f>
        <v>0</v>
      </c>
      <c r="F97" s="23">
        <f t="shared" ref="F97" si="64">F95+F96</f>
        <v>0</v>
      </c>
      <c r="G97" s="23">
        <f t="shared" ref="G97" si="65">G95+G96</f>
        <v>0</v>
      </c>
      <c r="H97" s="23">
        <f t="shared" ref="H97" si="66">H95+H96</f>
        <v>0</v>
      </c>
      <c r="I97" s="23">
        <f t="shared" ref="I97" si="67">I95+I96</f>
        <v>0</v>
      </c>
      <c r="J97" s="23">
        <f t="shared" ref="J97" si="68">J95+J96</f>
        <v>0</v>
      </c>
      <c r="K97" s="23">
        <f t="shared" ref="K97" si="69">K95+K96</f>
        <v>0</v>
      </c>
      <c r="L97" s="23">
        <f t="shared" ref="L97" si="70">L95+L96</f>
        <v>0</v>
      </c>
      <c r="M97" s="23">
        <f t="shared" ref="M97" si="71">M95+M96</f>
        <v>0</v>
      </c>
      <c r="N97" s="23">
        <f t="shared" ref="N97" si="72">N95+N96</f>
        <v>0</v>
      </c>
      <c r="O97" s="23">
        <f t="shared" ref="O97" si="73">O95+O96</f>
        <v>0</v>
      </c>
      <c r="P97" s="23">
        <f t="shared" ref="P97" si="74">P95+P96</f>
        <v>0</v>
      </c>
      <c r="Q97" s="23">
        <f t="shared" ref="Q97:R97" si="75">Q95+Q96</f>
        <v>0</v>
      </c>
      <c r="R97" s="23">
        <f t="shared" si="75"/>
        <v>0</v>
      </c>
      <c r="S97" s="506"/>
      <c r="T97" s="507"/>
      <c r="U97" s="501"/>
      <c r="V97" s="106"/>
      <c r="W97" s="106"/>
      <c r="X97" s="38"/>
      <c r="Y97" s="166" t="s">
        <v>128</v>
      </c>
      <c r="Z97" s="305">
        <f t="shared" ref="Z97:AM97" si="76">Z10/Z21</f>
        <v>30</v>
      </c>
      <c r="AA97" s="164">
        <f t="shared" si="76"/>
        <v>2</v>
      </c>
      <c r="AB97" s="164">
        <f t="shared" si="76"/>
        <v>12</v>
      </c>
      <c r="AC97" s="164">
        <f t="shared" si="76"/>
        <v>7</v>
      </c>
      <c r="AD97" s="164">
        <f t="shared" si="76"/>
        <v>8</v>
      </c>
      <c r="AE97" s="164">
        <f t="shared" si="76"/>
        <v>14</v>
      </c>
      <c r="AF97" s="164">
        <f t="shared" si="76"/>
        <v>2</v>
      </c>
      <c r="AG97" s="164">
        <f t="shared" si="76"/>
        <v>18.666666666666668</v>
      </c>
      <c r="AH97" s="164">
        <f t="shared" si="76"/>
        <v>11.222222222222221</v>
      </c>
      <c r="AI97" s="164">
        <f t="shared" si="76"/>
        <v>5</v>
      </c>
      <c r="AJ97" s="164">
        <f t="shared" si="76"/>
        <v>15</v>
      </c>
      <c r="AK97" s="164">
        <f t="shared" si="76"/>
        <v>32.75</v>
      </c>
      <c r="AL97" s="164">
        <f t="shared" si="76"/>
        <v>7.1428571428571425E-2</v>
      </c>
      <c r="AM97" s="165">
        <f t="shared" si="76"/>
        <v>20.833333333333332</v>
      </c>
      <c r="AN97" s="298"/>
      <c r="AO97" s="41"/>
      <c r="AP97" s="108"/>
      <c r="AQ97" s="108"/>
    </row>
    <row r="98" spans="1:43" ht="17.25" thickBot="1" x14ac:dyDescent="0.3">
      <c r="A98" s="106"/>
      <c r="B98" s="508" t="s">
        <v>50</v>
      </c>
      <c r="C98" s="9" t="s">
        <v>20</v>
      </c>
      <c r="D98" s="530"/>
      <c r="E98" s="9">
        <f>IF($G$82&gt;0,E$77,0)</f>
        <v>0</v>
      </c>
      <c r="F98" s="9">
        <f>IF($G$82&gt;0,F$77,0)</f>
        <v>0</v>
      </c>
      <c r="G98" s="530"/>
      <c r="H98" s="530"/>
      <c r="I98" s="530"/>
      <c r="J98" s="9">
        <f>IF($G$82&gt;0,J$77,0)</f>
        <v>0</v>
      </c>
      <c r="K98" s="530"/>
      <c r="L98" s="530"/>
      <c r="M98" s="9">
        <f>IF($G$82&gt;0,M$77,0)</f>
        <v>0</v>
      </c>
      <c r="N98" s="530"/>
      <c r="O98" s="9">
        <f>IF($G$82&gt;0,O$77,0)</f>
        <v>0</v>
      </c>
      <c r="P98" s="521"/>
      <c r="Q98" s="533"/>
      <c r="R98" s="522"/>
      <c r="S98" s="517">
        <f>F82</f>
        <v>0</v>
      </c>
      <c r="T98" s="518"/>
      <c r="U98" s="499">
        <f>S98-S101</f>
        <v>0</v>
      </c>
      <c r="V98" s="106"/>
      <c r="W98" s="106"/>
      <c r="X98" s="3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41"/>
      <c r="AP98" s="108"/>
      <c r="AQ98" s="108"/>
    </row>
    <row r="99" spans="1:43" ht="17.25" thickBot="1" x14ac:dyDescent="0.3">
      <c r="A99" s="106"/>
      <c r="B99" s="509"/>
      <c r="C99" s="10" t="s">
        <v>48</v>
      </c>
      <c r="D99" s="512"/>
      <c r="E99" s="19">
        <f>IF(E98=0,0,IF($U$98&gt;0,-E98*($S$101/$S$98)^1.2,-E98))</f>
        <v>0</v>
      </c>
      <c r="F99" s="19">
        <f>IF(F98=0,0,IF($U$98&gt;0,-F98*($S$101/$S$98)^1.2,-F98))</f>
        <v>0</v>
      </c>
      <c r="G99" s="512"/>
      <c r="H99" s="512"/>
      <c r="I99" s="512"/>
      <c r="J99" s="19">
        <f>IF(J98=0,0,IF($U$98&gt;0,-J98*($S$101/$S$98)^1.2,-J98))</f>
        <v>0</v>
      </c>
      <c r="K99" s="512"/>
      <c r="L99" s="512"/>
      <c r="M99" s="19">
        <f>IF(M98=0,0,IF($U$98&gt;0,-M98*($S$101/$S$98)^1.2,-M98))</f>
        <v>0</v>
      </c>
      <c r="N99" s="512"/>
      <c r="O99" s="19">
        <f>IF(O98=0,0,IF($U$98&gt;0,-O98*($S$101/$S$98)^1.2,-O98))</f>
        <v>0</v>
      </c>
      <c r="P99" s="523"/>
      <c r="Q99" s="534"/>
      <c r="R99" s="524"/>
      <c r="S99" s="504"/>
      <c r="T99" s="505"/>
      <c r="U99" s="500"/>
      <c r="V99" s="106"/>
      <c r="W99" s="106"/>
      <c r="X99" s="38"/>
      <c r="Y99" s="601" t="s">
        <v>106</v>
      </c>
      <c r="Z99" s="603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41"/>
      <c r="AP99" s="108"/>
      <c r="AQ99" s="108"/>
    </row>
    <row r="100" spans="1:43" x14ac:dyDescent="0.25">
      <c r="A100" s="106"/>
      <c r="B100" s="509"/>
      <c r="C100" s="10" t="s">
        <v>44</v>
      </c>
      <c r="D100" s="512"/>
      <c r="E100" s="22">
        <f>E98+E99</f>
        <v>0</v>
      </c>
      <c r="F100" s="22">
        <f>F98+F99</f>
        <v>0</v>
      </c>
      <c r="G100" s="512"/>
      <c r="H100" s="512"/>
      <c r="I100" s="512"/>
      <c r="J100" s="22">
        <f>J98+J99</f>
        <v>0</v>
      </c>
      <c r="K100" s="512"/>
      <c r="L100" s="512"/>
      <c r="M100" s="22">
        <f>M98+M99</f>
        <v>0</v>
      </c>
      <c r="N100" s="512"/>
      <c r="O100" s="22">
        <f>O98+O99</f>
        <v>0</v>
      </c>
      <c r="P100" s="525"/>
      <c r="Q100" s="535"/>
      <c r="R100" s="526"/>
      <c r="S100" s="519"/>
      <c r="T100" s="520"/>
      <c r="U100" s="500"/>
      <c r="V100" s="106"/>
      <c r="W100" s="106"/>
      <c r="X100" s="38"/>
      <c r="Y100" s="292" t="s">
        <v>129</v>
      </c>
      <c r="Z100" s="278">
        <f t="shared" ref="Z100:AM100" si="77">((Z$18+Z$19+Z$20)*IF($AA$33=1,0.9,1))/(Z$8+Z$9+Z$10)</f>
        <v>3.4615384615384617</v>
      </c>
      <c r="AA100" s="278">
        <f t="shared" si="77"/>
        <v>11.470588235294118</v>
      </c>
      <c r="AB100" s="278">
        <f t="shared" si="77"/>
        <v>4.5348837209302326</v>
      </c>
      <c r="AC100" s="278">
        <f t="shared" si="77"/>
        <v>6.0810810810810807</v>
      </c>
      <c r="AD100" s="278">
        <f t="shared" si="77"/>
        <v>16.744186046511629</v>
      </c>
      <c r="AE100" s="278">
        <f t="shared" si="77"/>
        <v>6.4864864864864868</v>
      </c>
      <c r="AF100" s="278">
        <f t="shared" si="77"/>
        <v>40</v>
      </c>
      <c r="AG100" s="278">
        <f t="shared" si="77"/>
        <v>3.3224755700325734</v>
      </c>
      <c r="AH100" s="278">
        <f t="shared" si="77"/>
        <v>12</v>
      </c>
      <c r="AI100" s="278">
        <f t="shared" si="77"/>
        <v>4.1515151515151514</v>
      </c>
      <c r="AJ100" s="278">
        <f t="shared" si="77"/>
        <v>2.2344827586206897</v>
      </c>
      <c r="AK100" s="278">
        <f t="shared" si="77"/>
        <v>4.2207505518763799</v>
      </c>
      <c r="AL100" s="278">
        <f t="shared" si="77"/>
        <v>19.09090909090909</v>
      </c>
      <c r="AM100" s="287">
        <f t="shared" si="77"/>
        <v>4.9616724738675959</v>
      </c>
      <c r="AN100" s="298"/>
      <c r="AO100" s="41"/>
      <c r="AP100" s="108"/>
      <c r="AQ100" s="108"/>
    </row>
    <row r="101" spans="1:43" ht="17.25" thickBot="1" x14ac:dyDescent="0.3">
      <c r="A101" s="106"/>
      <c r="B101" s="509"/>
      <c r="C101" s="10" t="s">
        <v>21</v>
      </c>
      <c r="D101" s="10">
        <f>IF($F$82=0,0,$F$82/$G$82*D78)</f>
        <v>0</v>
      </c>
      <c r="E101" s="18">
        <f t="shared" ref="E101:Q101" si="78">IF($F$82=0,0,$F$82/$G$82*E78)</f>
        <v>0</v>
      </c>
      <c r="F101" s="18">
        <f t="shared" si="78"/>
        <v>0</v>
      </c>
      <c r="G101" s="18">
        <f t="shared" si="78"/>
        <v>0</v>
      </c>
      <c r="H101" s="18">
        <f t="shared" si="78"/>
        <v>0</v>
      </c>
      <c r="I101" s="18">
        <f t="shared" si="78"/>
        <v>0</v>
      </c>
      <c r="J101" s="18">
        <f t="shared" si="78"/>
        <v>0</v>
      </c>
      <c r="K101" s="18">
        <f t="shared" si="78"/>
        <v>0</v>
      </c>
      <c r="L101" s="18">
        <f t="shared" si="78"/>
        <v>0</v>
      </c>
      <c r="M101" s="18">
        <f t="shared" si="78"/>
        <v>0</v>
      </c>
      <c r="N101" s="18">
        <f t="shared" si="78"/>
        <v>0</v>
      </c>
      <c r="O101" s="18">
        <f t="shared" si="78"/>
        <v>0</v>
      </c>
      <c r="P101" s="18">
        <f t="shared" si="78"/>
        <v>0</v>
      </c>
      <c r="Q101" s="18">
        <f t="shared" si="78"/>
        <v>0</v>
      </c>
      <c r="R101" s="34">
        <f t="shared" ref="R101" si="79">IF($F$82=0,0,$F$82/$G$82*R78)</f>
        <v>0</v>
      </c>
      <c r="S101" s="502">
        <f>IF(F$82&gt;0,$G$82/$F$82*O$82,0)</f>
        <v>0</v>
      </c>
      <c r="T101" s="503"/>
      <c r="U101" s="500"/>
      <c r="V101" s="106"/>
      <c r="W101" s="106"/>
      <c r="X101" s="38"/>
      <c r="Y101" s="293" t="s">
        <v>128</v>
      </c>
      <c r="Z101" s="114">
        <f t="shared" ref="Z101:AM101" si="80">(Z8+Z9+Z10)/Z21</f>
        <v>52</v>
      </c>
      <c r="AA101" s="114">
        <f t="shared" si="80"/>
        <v>17</v>
      </c>
      <c r="AB101" s="114">
        <f t="shared" si="80"/>
        <v>43</v>
      </c>
      <c r="AC101" s="114">
        <f t="shared" si="80"/>
        <v>37</v>
      </c>
      <c r="AD101" s="114">
        <f t="shared" si="80"/>
        <v>14.333333333333334</v>
      </c>
      <c r="AE101" s="114">
        <f t="shared" si="80"/>
        <v>37</v>
      </c>
      <c r="AF101" s="114">
        <f t="shared" si="80"/>
        <v>6</v>
      </c>
      <c r="AG101" s="114">
        <f t="shared" si="80"/>
        <v>51.166666666666664</v>
      </c>
      <c r="AH101" s="114">
        <f t="shared" si="80"/>
        <v>20</v>
      </c>
      <c r="AI101" s="114">
        <f t="shared" si="80"/>
        <v>55</v>
      </c>
      <c r="AJ101" s="114">
        <f t="shared" si="80"/>
        <v>72.5</v>
      </c>
      <c r="AK101" s="114">
        <f t="shared" si="80"/>
        <v>56.625</v>
      </c>
      <c r="AL101" s="114">
        <f t="shared" si="80"/>
        <v>12.571428571428571</v>
      </c>
      <c r="AM101" s="115">
        <f t="shared" si="80"/>
        <v>79.722222222222229</v>
      </c>
      <c r="AN101" s="298"/>
      <c r="AO101" s="41"/>
      <c r="AP101" s="108"/>
      <c r="AQ101" s="108"/>
    </row>
    <row r="102" spans="1:43" ht="17.25" thickBot="1" x14ac:dyDescent="0.3">
      <c r="A102" s="106"/>
      <c r="B102" s="509"/>
      <c r="C102" s="10" t="s">
        <v>48</v>
      </c>
      <c r="D102" s="19">
        <f>IF(D101=S405,0,IF($U$98&lt;0,-D101*($S$98/$S$101)^1.2,-D101))</f>
        <v>0</v>
      </c>
      <c r="E102" s="19">
        <f t="shared" ref="E102:R102" si="81">IF(E101=T405,0,IF($U$98&lt;0,-E101*($S$98/$S$101)^1.2,-E101))</f>
        <v>0</v>
      </c>
      <c r="F102" s="19">
        <f t="shared" si="81"/>
        <v>0</v>
      </c>
      <c r="G102" s="19">
        <f t="shared" si="81"/>
        <v>0</v>
      </c>
      <c r="H102" s="19">
        <f t="shared" si="81"/>
        <v>0</v>
      </c>
      <c r="I102" s="19">
        <f t="shared" si="81"/>
        <v>0</v>
      </c>
      <c r="J102" s="19">
        <f t="shared" si="81"/>
        <v>0</v>
      </c>
      <c r="K102" s="19">
        <f t="shared" si="81"/>
        <v>0</v>
      </c>
      <c r="L102" s="19">
        <f t="shared" si="81"/>
        <v>0</v>
      </c>
      <c r="M102" s="19">
        <f t="shared" si="81"/>
        <v>0</v>
      </c>
      <c r="N102" s="19">
        <f t="shared" si="81"/>
        <v>0</v>
      </c>
      <c r="O102" s="19">
        <f t="shared" si="81"/>
        <v>0</v>
      </c>
      <c r="P102" s="19">
        <f t="shared" si="81"/>
        <v>0</v>
      </c>
      <c r="Q102" s="19">
        <f t="shared" si="81"/>
        <v>0</v>
      </c>
      <c r="R102" s="19">
        <f t="shared" si="81"/>
        <v>0</v>
      </c>
      <c r="S102" s="504"/>
      <c r="T102" s="505"/>
      <c r="U102" s="500"/>
      <c r="V102" s="106"/>
      <c r="W102" s="106"/>
      <c r="X102" s="70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2"/>
      <c r="AP102" s="108"/>
      <c r="AQ102" s="108"/>
    </row>
    <row r="103" spans="1:43" ht="18" thickTop="1" thickBot="1" x14ac:dyDescent="0.3">
      <c r="A103" s="106"/>
      <c r="B103" s="510"/>
      <c r="C103" s="11" t="s">
        <v>44</v>
      </c>
      <c r="D103" s="25">
        <f>D101+D102</f>
        <v>0</v>
      </c>
      <c r="E103" s="25">
        <f t="shared" ref="E103" si="82">E101+E102</f>
        <v>0</v>
      </c>
      <c r="F103" s="25">
        <f t="shared" ref="F103" si="83">F101+F102</f>
        <v>0</v>
      </c>
      <c r="G103" s="25">
        <f t="shared" ref="G103" si="84">G101+G102</f>
        <v>0</v>
      </c>
      <c r="H103" s="25">
        <f t="shared" ref="H103" si="85">H101+H102</f>
        <v>0</v>
      </c>
      <c r="I103" s="25">
        <f t="shared" ref="I103" si="86">I101+I102</f>
        <v>0</v>
      </c>
      <c r="J103" s="25">
        <f t="shared" ref="J103" si="87">J101+J102</f>
        <v>0</v>
      </c>
      <c r="K103" s="25">
        <f t="shared" ref="K103" si="88">K101+K102</f>
        <v>0</v>
      </c>
      <c r="L103" s="25">
        <f t="shared" ref="L103" si="89">L101+L102</f>
        <v>0</v>
      </c>
      <c r="M103" s="25">
        <f t="shared" ref="M103" si="90">M101+M102</f>
        <v>0</v>
      </c>
      <c r="N103" s="25">
        <f t="shared" ref="N103" si="91">N101+N102</f>
        <v>0</v>
      </c>
      <c r="O103" s="25">
        <f t="shared" ref="O103" si="92">O101+O102</f>
        <v>0</v>
      </c>
      <c r="P103" s="25">
        <f t="shared" ref="P103" si="93">P101+P102</f>
        <v>0</v>
      </c>
      <c r="Q103" s="25">
        <f t="shared" ref="Q103:R103" si="94">Q101+Q102</f>
        <v>0</v>
      </c>
      <c r="R103" s="25">
        <f t="shared" si="94"/>
        <v>0</v>
      </c>
      <c r="S103" s="506"/>
      <c r="T103" s="507"/>
      <c r="U103" s="501"/>
      <c r="V103" s="106"/>
      <c r="W103" s="106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I103" s="274"/>
      <c r="AJ103" s="274"/>
      <c r="AK103" s="274"/>
      <c r="AL103" s="274"/>
      <c r="AM103" s="274"/>
      <c r="AN103" s="274"/>
      <c r="AO103" s="274"/>
      <c r="AP103" s="108"/>
      <c r="AQ103" s="108"/>
    </row>
    <row r="104" spans="1:43" x14ac:dyDescent="0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I104" s="274"/>
      <c r="AJ104" s="274"/>
      <c r="AK104" s="274"/>
      <c r="AL104" s="274"/>
      <c r="AM104" s="274"/>
      <c r="AN104" s="274"/>
      <c r="AO104" s="274"/>
      <c r="AP104" s="108"/>
      <c r="AQ104" s="108"/>
    </row>
    <row r="105" spans="1:43" ht="17.25" thickBot="1" x14ac:dyDescent="0.3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I105" s="274"/>
      <c r="AJ105" s="274"/>
      <c r="AK105" s="274"/>
      <c r="AL105" s="274"/>
      <c r="AM105" s="274"/>
      <c r="AN105" s="274"/>
      <c r="AO105" s="274"/>
      <c r="AP105" s="108"/>
      <c r="AQ105" s="108"/>
    </row>
    <row r="106" spans="1:43" ht="17.25" thickBot="1" x14ac:dyDescent="0.3">
      <c r="B106" s="212"/>
      <c r="C106" s="538" t="s">
        <v>122</v>
      </c>
      <c r="D106" s="539"/>
      <c r="E106" s="539"/>
      <c r="F106" s="539"/>
      <c r="G106" s="539"/>
      <c r="H106" s="539"/>
      <c r="I106" s="539"/>
      <c r="J106" s="539"/>
      <c r="K106" s="539"/>
      <c r="L106" s="539"/>
      <c r="M106" s="539"/>
      <c r="N106" s="539"/>
      <c r="O106" s="539"/>
      <c r="P106" s="539"/>
      <c r="Q106" s="539"/>
      <c r="R106" s="539"/>
      <c r="S106" s="539"/>
      <c r="T106" s="540"/>
      <c r="U106" s="212"/>
      <c r="V106" s="212"/>
      <c r="W106" s="212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I106" s="274"/>
      <c r="AJ106" s="274"/>
      <c r="AK106" s="274"/>
      <c r="AL106" s="274"/>
      <c r="AM106" s="274"/>
      <c r="AN106" s="274"/>
      <c r="AO106" s="274"/>
      <c r="AP106" s="212"/>
      <c r="AQ106" s="212"/>
    </row>
    <row r="107" spans="1:43" ht="17.25" thickBot="1" x14ac:dyDescent="0.3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I107" s="274"/>
      <c r="AJ107" s="274"/>
      <c r="AK107" s="274"/>
      <c r="AL107" s="274"/>
      <c r="AM107" s="274"/>
      <c r="AN107" s="274"/>
      <c r="AO107" s="274"/>
      <c r="AP107" s="212"/>
      <c r="AQ107" s="212"/>
    </row>
    <row r="108" spans="1:43" ht="17.25" thickBot="1" x14ac:dyDescent="0.3">
      <c r="A108" s="212"/>
      <c r="B108" s="212"/>
      <c r="C108" s="212"/>
      <c r="D108" s="163" t="s">
        <v>8</v>
      </c>
      <c r="E108" s="164" t="s">
        <v>9</v>
      </c>
      <c r="F108" s="164" t="s">
        <v>10</v>
      </c>
      <c r="G108" s="164" t="s">
        <v>11</v>
      </c>
      <c r="H108" s="164" t="s">
        <v>12</v>
      </c>
      <c r="I108" s="164" t="s">
        <v>13</v>
      </c>
      <c r="J108" s="164" t="s">
        <v>14</v>
      </c>
      <c r="K108" s="164" t="s">
        <v>6</v>
      </c>
      <c r="L108" s="164" t="s">
        <v>7</v>
      </c>
      <c r="M108" s="164" t="s">
        <v>15</v>
      </c>
      <c r="N108" s="164" t="s">
        <v>16</v>
      </c>
      <c r="O108" s="164" t="s">
        <v>17</v>
      </c>
      <c r="P108" s="164" t="s">
        <v>18</v>
      </c>
      <c r="Q108" s="164" t="s">
        <v>19</v>
      </c>
      <c r="R108" s="165" t="s">
        <v>113</v>
      </c>
      <c r="S108" s="166" t="s">
        <v>47</v>
      </c>
      <c r="T108" s="212"/>
      <c r="U108" s="212"/>
      <c r="V108" s="212"/>
      <c r="W108" s="212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I108" s="274"/>
      <c r="AJ108" s="274"/>
      <c r="AK108" s="274"/>
      <c r="AL108" s="274"/>
      <c r="AM108" s="274"/>
      <c r="AN108" s="274"/>
      <c r="AO108" s="274"/>
      <c r="AP108" s="212"/>
      <c r="AQ108" s="212"/>
    </row>
    <row r="109" spans="1:43" ht="17.25" thickBot="1" x14ac:dyDescent="0.3">
      <c r="A109" s="212"/>
      <c r="B109" s="531" t="s">
        <v>52</v>
      </c>
      <c r="C109" s="210" t="s">
        <v>20</v>
      </c>
      <c r="D109" s="214">
        <f>D88</f>
        <v>0</v>
      </c>
      <c r="E109" s="214">
        <f>E100</f>
        <v>0</v>
      </c>
      <c r="F109" s="214">
        <f>F100</f>
        <v>0</v>
      </c>
      <c r="G109" s="214">
        <f>G94</f>
        <v>0</v>
      </c>
      <c r="H109" s="214">
        <f>H88</f>
        <v>0</v>
      </c>
      <c r="I109" s="214">
        <f>I94</f>
        <v>0</v>
      </c>
      <c r="J109" s="214">
        <f>J100</f>
        <v>0</v>
      </c>
      <c r="K109" s="214">
        <f>K88</f>
        <v>0</v>
      </c>
      <c r="L109" s="214">
        <f>L94</f>
        <v>0</v>
      </c>
      <c r="M109" s="214">
        <f>M100</f>
        <v>0</v>
      </c>
      <c r="N109" s="214">
        <f>N94</f>
        <v>0</v>
      </c>
      <c r="O109" s="214">
        <f>O100</f>
        <v>0</v>
      </c>
      <c r="P109" s="214">
        <f>P88</f>
        <v>0</v>
      </c>
      <c r="Q109" s="210">
        <f>Q94</f>
        <v>0</v>
      </c>
      <c r="R109" s="127"/>
      <c r="S109" s="117">
        <f>SUM(D109:Q109)</f>
        <v>0</v>
      </c>
      <c r="T109" s="212"/>
      <c r="U109" s="212"/>
      <c r="V109" s="212"/>
      <c r="W109" s="212"/>
      <c r="X109" s="274"/>
      <c r="Y109" s="274"/>
      <c r="Z109" s="274"/>
      <c r="AA109" s="274"/>
      <c r="AB109" s="274"/>
      <c r="AC109" s="274"/>
      <c r="AD109" s="274"/>
      <c r="AE109" s="274"/>
      <c r="AF109" s="104"/>
      <c r="AG109" s="104"/>
      <c r="AH109" s="104"/>
      <c r="AI109" s="104"/>
      <c r="AJ109" s="104"/>
      <c r="AK109" s="104"/>
      <c r="AL109" s="104"/>
      <c r="AM109" s="274"/>
      <c r="AN109" s="274"/>
      <c r="AO109" s="274"/>
      <c r="AP109" s="212"/>
      <c r="AQ109" s="212"/>
    </row>
    <row r="110" spans="1:43" ht="17.25" thickBot="1" x14ac:dyDescent="0.3">
      <c r="A110" s="212"/>
      <c r="B110" s="532"/>
      <c r="C110" s="114" t="s">
        <v>21</v>
      </c>
      <c r="D110" s="114">
        <f>D91+D97+D103</f>
        <v>0</v>
      </c>
      <c r="E110" s="114">
        <f t="shared" ref="E110:P110" si="95">E91+E97+E103</f>
        <v>0</v>
      </c>
      <c r="F110" s="114">
        <f t="shared" si="95"/>
        <v>0</v>
      </c>
      <c r="G110" s="114">
        <f t="shared" si="95"/>
        <v>0</v>
      </c>
      <c r="H110" s="114">
        <f t="shared" si="95"/>
        <v>0</v>
      </c>
      <c r="I110" s="114">
        <f t="shared" si="95"/>
        <v>0</v>
      </c>
      <c r="J110" s="114">
        <f t="shared" si="95"/>
        <v>0</v>
      </c>
      <c r="K110" s="114">
        <f t="shared" si="95"/>
        <v>0</v>
      </c>
      <c r="L110" s="114">
        <f t="shared" si="95"/>
        <v>0</v>
      </c>
      <c r="M110" s="114">
        <f t="shared" si="95"/>
        <v>0</v>
      </c>
      <c r="N110" s="114">
        <f t="shared" si="95"/>
        <v>0</v>
      </c>
      <c r="O110" s="114">
        <f t="shared" si="95"/>
        <v>0</v>
      </c>
      <c r="P110" s="114">
        <f t="shared" si="95"/>
        <v>0</v>
      </c>
      <c r="Q110" s="114">
        <f>Q91+Q97+Q103</f>
        <v>0</v>
      </c>
      <c r="R110" s="114">
        <f>R91+R97+R103</f>
        <v>0</v>
      </c>
      <c r="S110" s="126">
        <f>SUM(D110:R110)</f>
        <v>0</v>
      </c>
      <c r="T110" s="212"/>
      <c r="U110" s="212"/>
      <c r="V110" s="212"/>
      <c r="W110" s="212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274"/>
      <c r="AJ110" s="274"/>
      <c r="AK110" s="274"/>
      <c r="AL110" s="274"/>
      <c r="AM110" s="274"/>
      <c r="AN110" s="274"/>
      <c r="AO110" s="274"/>
      <c r="AP110" s="212"/>
      <c r="AQ110" s="212"/>
    </row>
    <row r="111" spans="1:43" ht="17.25" thickBot="1" x14ac:dyDescent="0.3">
      <c r="A111" s="212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</row>
    <row r="112" spans="1:43" ht="17.25" thickBot="1" x14ac:dyDescent="0.3">
      <c r="A112" s="212"/>
      <c r="B112" s="104"/>
      <c r="C112" s="547" t="s">
        <v>22</v>
      </c>
      <c r="D112" s="550" t="s">
        <v>23</v>
      </c>
      <c r="E112" s="550" t="s">
        <v>24</v>
      </c>
      <c r="F112" s="552" t="s">
        <v>3</v>
      </c>
      <c r="G112" s="104"/>
      <c r="H112" s="104"/>
      <c r="I112" s="104"/>
      <c r="J112" s="104"/>
      <c r="K112" s="104"/>
      <c r="L112" s="531" t="s">
        <v>25</v>
      </c>
      <c r="M112" s="543" t="s">
        <v>23</v>
      </c>
      <c r="N112" s="543" t="s">
        <v>24</v>
      </c>
      <c r="O112" s="545" t="s">
        <v>3</v>
      </c>
      <c r="P112" s="104"/>
      <c r="Q112" s="104"/>
      <c r="R112" s="104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</row>
    <row r="113" spans="1:43" x14ac:dyDescent="0.25">
      <c r="A113" s="212"/>
      <c r="B113" s="104"/>
      <c r="C113" s="548"/>
      <c r="D113" s="551"/>
      <c r="E113" s="551"/>
      <c r="F113" s="553"/>
      <c r="G113" s="119" t="s">
        <v>47</v>
      </c>
      <c r="H113" s="104"/>
      <c r="I113" s="104"/>
      <c r="J113" s="104"/>
      <c r="K113" s="104"/>
      <c r="L113" s="541"/>
      <c r="M113" s="544"/>
      <c r="N113" s="544"/>
      <c r="O113" s="546"/>
      <c r="P113" s="104"/>
      <c r="Q113" s="104"/>
      <c r="R113" s="104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</row>
    <row r="114" spans="1:43" ht="17.25" thickBot="1" x14ac:dyDescent="0.3">
      <c r="A114" s="212"/>
      <c r="B114" s="212"/>
      <c r="C114" s="549"/>
      <c r="D114" s="114">
        <f>IF(S109&gt;0,IF(S110&gt;0,(Z6*D109)+(AD6*H109)+IF(G18=1,((AG6*K109)+(AL6*P109))*1.2,((AG6*K109)+(AL6*P109))),0),0)*IF(E18=1,1.2,1)*IF(F18=1,1.1,1)*IF(I18=1,1.1,1)*IF(J19=1,0.9,1)</f>
        <v>0</v>
      </c>
      <c r="E114" s="114">
        <f>IF(S109&gt;0,IF(S110&gt;0,(AC6*G109)+(AE6*I109)+IF(G49=1,((AH6*L109)+(AJ6*N109)+(AM6*Q109))*1.2,(AH6*L109)+(AJ6*N109)+(AM6*Q109)),0),0)*IF($E$18=1,1.2,1)*IF($F$18=1,1.1,1)*IF($I$18=1,1.1,1)*IF($J$19=1,0.9,1)</f>
        <v>0</v>
      </c>
      <c r="F114" s="120">
        <f>IF(S109&gt;0,IF(S110&gt;0,(AA6*E109)+(AB6*F109)+(AF6*J109)+IF(G18=1,((AI6*M109)+(AK6*O109))*1.2,(AI6*M109)+(AK6*O109)),0),0)*IF(E18=1,1.2,1)*IF(F18=1,1.1,1)*IF(I18=1,1.1,1)*IF(J19=1,0.9,1)</f>
        <v>0</v>
      </c>
      <c r="G114" s="121">
        <f>SUM(D114:F114)</f>
        <v>0</v>
      </c>
      <c r="H114" s="212"/>
      <c r="I114" s="212"/>
      <c r="J114" s="212"/>
      <c r="K114" s="212"/>
      <c r="L114" s="542"/>
      <c r="M114" s="262">
        <f>(((AN8*R110)+($Z$8*D110)+(AA$8*E110)+(AB8*F110)+(AC8*G110)+(AD8*H110)+(AE8*I110)+(AF8*J110)+IF(G19=1,((AG8*K110)+(AH8*L110)+(AI8*M110)+(AJ8*N110)+(AK8*O110)+(AL8*P110)+(AM8*Q110))*1.2,(AG8*K110)+(AH8*L110)+(AI8*M110)+(AJ8*N110)+(AK8*O110)+(AL8*P110)+(AM8*Q110)))*IF(H19=1,1.1,1)*(G9/100+1)+(D9*10)+10)*IF(E19=1,1.2,1)*IF(F19=1,1.1,1)*IF(D19=1,2,1)</f>
        <v>10</v>
      </c>
      <c r="N114" s="262">
        <f>(((AN9*R110)+($Z$9*D110)+(AA$9*E110)+(AB9*F110)+(AC9*G110)+(AD9*H110)+(AE9*I110)+(AF9*J110)+IF(G19=1,((AG9*K110)+(AH9*L110)+(AI9*M110)+(AJ9*N110)+(AK9*O110)+(AL9*P110)+(AM9*Q110))*1.2,(AG8*K110)+(AH8*L110)+(AI9*M110)+(AJ9*N110)+(AK9*O110)+(AL9*P110)+(AM9*Q110)))*IF(H19=1,1.1,1)*(G9/100+1)+(D9*10)+10)*IF(E19=1,1.2,1)*IF(F19=1,1.1,1)*IF(D19=1,2,1)</f>
        <v>10</v>
      </c>
      <c r="O114" s="263">
        <f>(((AN10*R110)+($Z$10*D110)+(AA$10*E110)+(AB10*F110)+(AC10*G110)+(AD10*H110)+(AE10*I110)+(AF10*J110)+IF(G19=1,((AG10*K110)+(AH10*L110)+(AI10*M110)+(AJ10*N110)+(AK10*O110)+(AL10*P110)+(AM10*Q110))*1.2,(AG10*K110)+(AH10*L110)+(AI10*M110)+(AJ10*N110)+(AK10*O110)+(AL10*P110)+(AM10*Q110)))*IF(H19=1,1.1,1)*(G9/100+1)+(D9*10)+10)*IF(E19=1,1.2,1)*IF(F19=1,1.1,1)*IF(D19=1,2,1)</f>
        <v>10</v>
      </c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</row>
    <row r="115" spans="1:43" s="99" customFormat="1" ht="17.25" thickBot="1" x14ac:dyDescent="0.3">
      <c r="A115" s="260"/>
      <c r="B115" s="260"/>
      <c r="C115" s="122"/>
      <c r="D115" s="264"/>
      <c r="E115" s="264"/>
      <c r="F115" s="264"/>
      <c r="G115" s="104"/>
      <c r="H115" s="260"/>
      <c r="I115" s="260"/>
      <c r="J115" s="260"/>
      <c r="K115" s="260"/>
      <c r="L115" s="259" t="s">
        <v>137</v>
      </c>
      <c r="M115" s="114">
        <f>S121</f>
        <v>0</v>
      </c>
      <c r="N115" s="114">
        <f>S127</f>
        <v>0</v>
      </c>
      <c r="O115" s="115">
        <f>S133</f>
        <v>0</v>
      </c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  <c r="AO115" s="260"/>
      <c r="AP115" s="260"/>
      <c r="AQ115" s="260"/>
    </row>
    <row r="116" spans="1:43" ht="17.25" thickBot="1" x14ac:dyDescent="0.3">
      <c r="A116" s="212"/>
      <c r="B116" s="212"/>
      <c r="C116" s="122"/>
      <c r="D116" s="265"/>
      <c r="E116" s="265"/>
      <c r="F116" s="265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</row>
    <row r="117" spans="1:43" ht="17.25" customHeight="1" thickBot="1" x14ac:dyDescent="0.3">
      <c r="A117" s="212"/>
      <c r="B117" s="527" t="s">
        <v>49</v>
      </c>
      <c r="C117" s="528"/>
      <c r="D117" s="209" t="s">
        <v>8</v>
      </c>
      <c r="E117" s="12" t="s">
        <v>9</v>
      </c>
      <c r="F117" s="12" t="s">
        <v>10</v>
      </c>
      <c r="G117" s="12" t="s">
        <v>11</v>
      </c>
      <c r="H117" s="12" t="s">
        <v>12</v>
      </c>
      <c r="I117" s="12" t="s">
        <v>13</v>
      </c>
      <c r="J117" s="12" t="s">
        <v>14</v>
      </c>
      <c r="K117" s="12" t="s">
        <v>6</v>
      </c>
      <c r="L117" s="12" t="s">
        <v>7</v>
      </c>
      <c r="M117" s="12" t="s">
        <v>15</v>
      </c>
      <c r="N117" s="12" t="s">
        <v>16</v>
      </c>
      <c r="O117" s="12" t="s">
        <v>17</v>
      </c>
      <c r="P117" s="12" t="s">
        <v>18</v>
      </c>
      <c r="Q117" s="213" t="s">
        <v>19</v>
      </c>
      <c r="R117" s="152" t="s">
        <v>113</v>
      </c>
      <c r="S117" s="529" t="s">
        <v>5</v>
      </c>
      <c r="T117" s="517"/>
      <c r="U117" s="24" t="s">
        <v>51</v>
      </c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</row>
    <row r="118" spans="1:43" x14ac:dyDescent="0.25">
      <c r="A118" s="212"/>
      <c r="B118" s="508" t="s">
        <v>23</v>
      </c>
      <c r="C118" s="9" t="s">
        <v>20</v>
      </c>
      <c r="D118" s="9">
        <f>IF($G$114&gt;0,D$109,0)</f>
        <v>0</v>
      </c>
      <c r="E118" s="530"/>
      <c r="F118" s="530"/>
      <c r="G118" s="530"/>
      <c r="H118" s="9">
        <f>IF($G$114&gt;0,H$109,0)</f>
        <v>0</v>
      </c>
      <c r="I118" s="530"/>
      <c r="J118" s="530"/>
      <c r="K118" s="9">
        <f>IF($G$114&gt;0,K$109,0)</f>
        <v>0</v>
      </c>
      <c r="L118" s="521"/>
      <c r="M118" s="533"/>
      <c r="N118" s="533"/>
      <c r="O118" s="522"/>
      <c r="P118" s="9">
        <f>IF($G$114&gt;0,P$109,0)</f>
        <v>0</v>
      </c>
      <c r="Q118" s="521"/>
      <c r="R118" s="522"/>
      <c r="S118" s="517">
        <f>D114</f>
        <v>0</v>
      </c>
      <c r="T118" s="518"/>
      <c r="U118" s="499">
        <f>S118-S121</f>
        <v>0</v>
      </c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</row>
    <row r="119" spans="1:43" x14ac:dyDescent="0.25">
      <c r="A119" s="212"/>
      <c r="B119" s="509"/>
      <c r="C119" s="34" t="s">
        <v>48</v>
      </c>
      <c r="D119" s="19">
        <f>IF(D118=0,0,IF($U$118&gt;0,-D118*($S$121/$S$118)^1.2,-D118))</f>
        <v>0</v>
      </c>
      <c r="E119" s="512"/>
      <c r="F119" s="512"/>
      <c r="G119" s="512"/>
      <c r="H119" s="19">
        <f>IF(H118=0,0,IF($U$118&gt;0,-H118*($S$121/$S$118)^1.2,-H118))</f>
        <v>0</v>
      </c>
      <c r="I119" s="512"/>
      <c r="J119" s="512"/>
      <c r="K119" s="19">
        <f>IF(K118=0,0,IF($U$118&gt;0,-K118*($S$121/$S$118)^1.2,-K118))</f>
        <v>0</v>
      </c>
      <c r="L119" s="523"/>
      <c r="M119" s="534"/>
      <c r="N119" s="534"/>
      <c r="O119" s="524"/>
      <c r="P119" s="19">
        <f>IF(P118=0,0,IF($U$118&gt;0,-P118*($S$121/$S$118)^1.2,-P118))</f>
        <v>0</v>
      </c>
      <c r="Q119" s="523"/>
      <c r="R119" s="524"/>
      <c r="S119" s="504"/>
      <c r="T119" s="505"/>
      <c r="U119" s="500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</row>
    <row r="120" spans="1:43" x14ac:dyDescent="0.25">
      <c r="A120" s="212"/>
      <c r="B120" s="509"/>
      <c r="C120" s="34" t="s">
        <v>44</v>
      </c>
      <c r="D120" s="22">
        <f>D118+D119</f>
        <v>0</v>
      </c>
      <c r="E120" s="512"/>
      <c r="F120" s="512"/>
      <c r="G120" s="512"/>
      <c r="H120" s="22">
        <f>H118+H119</f>
        <v>0</v>
      </c>
      <c r="I120" s="512"/>
      <c r="J120" s="512"/>
      <c r="K120" s="22">
        <f>K118+K119</f>
        <v>0</v>
      </c>
      <c r="L120" s="525"/>
      <c r="M120" s="535"/>
      <c r="N120" s="535"/>
      <c r="O120" s="526"/>
      <c r="P120" s="22">
        <f>P118+P119</f>
        <v>0</v>
      </c>
      <c r="Q120" s="525"/>
      <c r="R120" s="526"/>
      <c r="S120" s="519"/>
      <c r="T120" s="520"/>
      <c r="U120" s="500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</row>
    <row r="121" spans="1:43" x14ac:dyDescent="0.25">
      <c r="A121" s="212"/>
      <c r="B121" s="509"/>
      <c r="C121" s="34" t="s">
        <v>21</v>
      </c>
      <c r="D121" s="34">
        <f>IF($D$114=0,0,$D$114/$G$114*D110)</f>
        <v>0</v>
      </c>
      <c r="E121" s="34">
        <f t="shared" ref="E121:R121" si="96">IF($D$114=0,0,$D$114/$G$114*E110)</f>
        <v>0</v>
      </c>
      <c r="F121" s="34">
        <f t="shared" si="96"/>
        <v>0</v>
      </c>
      <c r="G121" s="34">
        <f t="shared" si="96"/>
        <v>0</v>
      </c>
      <c r="H121" s="34">
        <f t="shared" si="96"/>
        <v>0</v>
      </c>
      <c r="I121" s="34">
        <f t="shared" si="96"/>
        <v>0</v>
      </c>
      <c r="J121" s="34">
        <f t="shared" si="96"/>
        <v>0</v>
      </c>
      <c r="K121" s="34">
        <f t="shared" si="96"/>
        <v>0</v>
      </c>
      <c r="L121" s="34">
        <f t="shared" si="96"/>
        <v>0</v>
      </c>
      <c r="M121" s="34">
        <f t="shared" si="96"/>
        <v>0</v>
      </c>
      <c r="N121" s="34">
        <f t="shared" si="96"/>
        <v>0</v>
      </c>
      <c r="O121" s="34">
        <f t="shared" si="96"/>
        <v>0</v>
      </c>
      <c r="P121" s="34">
        <f t="shared" si="96"/>
        <v>0</v>
      </c>
      <c r="Q121" s="34">
        <f t="shared" si="96"/>
        <v>0</v>
      </c>
      <c r="R121" s="34">
        <f t="shared" si="96"/>
        <v>0</v>
      </c>
      <c r="S121" s="502">
        <f>IF(D$114&gt;0,$G$114/$D$114*M$82,0)</f>
        <v>0</v>
      </c>
      <c r="T121" s="503"/>
      <c r="U121" s="500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</row>
    <row r="122" spans="1:43" x14ac:dyDescent="0.25">
      <c r="A122" s="212"/>
      <c r="B122" s="509"/>
      <c r="C122" s="34" t="s">
        <v>48</v>
      </c>
      <c r="D122" s="19">
        <f t="shared" ref="D122:Q122" si="97">IF(D121=S424,0,IF($U$118&lt;0,-D121*($S$118/$S$121)^1.2,-D121))</f>
        <v>0</v>
      </c>
      <c r="E122" s="19">
        <f t="shared" si="97"/>
        <v>0</v>
      </c>
      <c r="F122" s="19">
        <f t="shared" si="97"/>
        <v>0</v>
      </c>
      <c r="G122" s="19">
        <f t="shared" si="97"/>
        <v>0</v>
      </c>
      <c r="H122" s="19">
        <f t="shared" si="97"/>
        <v>0</v>
      </c>
      <c r="I122" s="19">
        <f t="shared" si="97"/>
        <v>0</v>
      </c>
      <c r="J122" s="19">
        <f t="shared" si="97"/>
        <v>0</v>
      </c>
      <c r="K122" s="19">
        <f t="shared" si="97"/>
        <v>0</v>
      </c>
      <c r="L122" s="19">
        <f t="shared" si="97"/>
        <v>0</v>
      </c>
      <c r="M122" s="19">
        <f t="shared" si="97"/>
        <v>0</v>
      </c>
      <c r="N122" s="19">
        <f t="shared" si="97"/>
        <v>0</v>
      </c>
      <c r="O122" s="19">
        <f t="shared" si="97"/>
        <v>0</v>
      </c>
      <c r="P122" s="19">
        <f t="shared" si="97"/>
        <v>0</v>
      </c>
      <c r="Q122" s="19">
        <f t="shared" si="97"/>
        <v>0</v>
      </c>
      <c r="R122" s="19">
        <f>IF(R121=AG424,0,IF($U$118&lt;0,-R121*($S$118/$S$121)^1.2,-R121))</f>
        <v>0</v>
      </c>
      <c r="S122" s="504"/>
      <c r="T122" s="505"/>
      <c r="U122" s="500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</row>
    <row r="123" spans="1:43" ht="17.25" thickBot="1" x14ac:dyDescent="0.3">
      <c r="A123" s="212"/>
      <c r="B123" s="510"/>
      <c r="C123" s="11" t="s">
        <v>44</v>
      </c>
      <c r="D123" s="25">
        <f>D121+D122</f>
        <v>0</v>
      </c>
      <c r="E123" s="25">
        <f t="shared" ref="E123:R123" si="98">E121+E122</f>
        <v>0</v>
      </c>
      <c r="F123" s="25">
        <f t="shared" si="98"/>
        <v>0</v>
      </c>
      <c r="G123" s="25">
        <f t="shared" si="98"/>
        <v>0</v>
      </c>
      <c r="H123" s="25">
        <f t="shared" si="98"/>
        <v>0</v>
      </c>
      <c r="I123" s="25">
        <f t="shared" si="98"/>
        <v>0</v>
      </c>
      <c r="J123" s="25">
        <f t="shared" si="98"/>
        <v>0</v>
      </c>
      <c r="K123" s="25">
        <f t="shared" si="98"/>
        <v>0</v>
      </c>
      <c r="L123" s="25">
        <f t="shared" si="98"/>
        <v>0</v>
      </c>
      <c r="M123" s="25">
        <f t="shared" si="98"/>
        <v>0</v>
      </c>
      <c r="N123" s="25">
        <f t="shared" si="98"/>
        <v>0</v>
      </c>
      <c r="O123" s="25">
        <f t="shared" si="98"/>
        <v>0</v>
      </c>
      <c r="P123" s="25">
        <f t="shared" si="98"/>
        <v>0</v>
      </c>
      <c r="Q123" s="25">
        <f t="shared" si="98"/>
        <v>0</v>
      </c>
      <c r="R123" s="25">
        <f t="shared" si="98"/>
        <v>0</v>
      </c>
      <c r="S123" s="506"/>
      <c r="T123" s="507"/>
      <c r="U123" s="501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</row>
    <row r="124" spans="1:43" x14ac:dyDescent="0.25">
      <c r="A124" s="212"/>
      <c r="B124" s="508" t="s">
        <v>24</v>
      </c>
      <c r="C124" s="13" t="s">
        <v>20</v>
      </c>
      <c r="D124" s="511"/>
      <c r="E124" s="511"/>
      <c r="F124" s="511"/>
      <c r="G124" s="9">
        <f>IF($G$114&gt;0,G$109,0)</f>
        <v>0</v>
      </c>
      <c r="H124" s="511"/>
      <c r="I124" s="9">
        <f>IF($G$114&gt;0,I$109,0)</f>
        <v>0</v>
      </c>
      <c r="J124" s="511"/>
      <c r="K124" s="511"/>
      <c r="L124" s="9">
        <f>IF($G$114&gt;0,L$109,0)</f>
        <v>0</v>
      </c>
      <c r="M124" s="513"/>
      <c r="N124" s="9">
        <f>IF($G$114&gt;0,N$109,0)</f>
        <v>0</v>
      </c>
      <c r="O124" s="521"/>
      <c r="P124" s="522"/>
      <c r="Q124" s="9">
        <f>IF($G$114&gt;0,Q$109,0)</f>
        <v>0</v>
      </c>
      <c r="R124" s="515"/>
      <c r="S124" s="517">
        <f>E114</f>
        <v>0</v>
      </c>
      <c r="T124" s="518"/>
      <c r="U124" s="499">
        <f>S124-S127</f>
        <v>0</v>
      </c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</row>
    <row r="125" spans="1:43" x14ac:dyDescent="0.25">
      <c r="A125" s="212"/>
      <c r="B125" s="509"/>
      <c r="C125" s="34" t="s">
        <v>48</v>
      </c>
      <c r="D125" s="512"/>
      <c r="E125" s="512"/>
      <c r="F125" s="512"/>
      <c r="G125" s="19">
        <f>IF(G124=0,0,IF($U$124&gt;0,-G124*($S$127/$S$124)^1.2,-G124))</f>
        <v>0</v>
      </c>
      <c r="H125" s="512"/>
      <c r="I125" s="19">
        <f>IF(I124=0,0,IF($U$124&gt;0,-I124*($S$127/$S$124)^1.2,-I124))</f>
        <v>0</v>
      </c>
      <c r="J125" s="512"/>
      <c r="K125" s="512"/>
      <c r="L125" s="19">
        <f>IF(L124=0,0,IF($U$124&gt;0,-L124*($S$127/$S$124)^1.2,-L124))</f>
        <v>0</v>
      </c>
      <c r="M125" s="514"/>
      <c r="N125" s="19">
        <f>IF(N124=0,0,IF($U$124&gt;0,-N124*($S$127/$S$124)^1.2,-N124))</f>
        <v>0</v>
      </c>
      <c r="O125" s="523"/>
      <c r="P125" s="524"/>
      <c r="Q125" s="19">
        <f>IF(Q124=0,0,IF($U$124&gt;0,-Q124*($S$127/$S$124)^1.2,-Q124))</f>
        <v>0</v>
      </c>
      <c r="R125" s="516"/>
      <c r="S125" s="504"/>
      <c r="T125" s="505"/>
      <c r="U125" s="500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</row>
    <row r="126" spans="1:43" x14ac:dyDescent="0.25">
      <c r="A126" s="212"/>
      <c r="B126" s="509"/>
      <c r="C126" s="34" t="s">
        <v>44</v>
      </c>
      <c r="D126" s="512"/>
      <c r="E126" s="512"/>
      <c r="F126" s="512"/>
      <c r="G126" s="22">
        <f>G124+G125</f>
        <v>0</v>
      </c>
      <c r="H126" s="512"/>
      <c r="I126" s="22">
        <f>I124+I125</f>
        <v>0</v>
      </c>
      <c r="J126" s="512"/>
      <c r="K126" s="512"/>
      <c r="L126" s="22">
        <f>L124+L125</f>
        <v>0</v>
      </c>
      <c r="M126" s="514"/>
      <c r="N126" s="22">
        <f>N124+N125</f>
        <v>0</v>
      </c>
      <c r="O126" s="525"/>
      <c r="P126" s="526"/>
      <c r="Q126" s="22">
        <f>Q124+Q125</f>
        <v>0</v>
      </c>
      <c r="R126" s="511"/>
      <c r="S126" s="519"/>
      <c r="T126" s="520"/>
      <c r="U126" s="500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</row>
    <row r="127" spans="1:43" x14ac:dyDescent="0.25">
      <c r="A127" s="212"/>
      <c r="B127" s="509"/>
      <c r="C127" s="34" t="s">
        <v>21</v>
      </c>
      <c r="D127" s="34">
        <f>IF($E$114=0,0,$E$114/$G$114*D110)</f>
        <v>0</v>
      </c>
      <c r="E127" s="34">
        <f t="shared" ref="E127:F127" si="99">IF($E$114=0,0,$E$114/$G$114*E110)</f>
        <v>0</v>
      </c>
      <c r="F127" s="34">
        <f t="shared" si="99"/>
        <v>0</v>
      </c>
      <c r="G127" s="34">
        <f>IF($E$114=0,0,$E$114/$G$114*G110)</f>
        <v>0</v>
      </c>
      <c r="H127" s="34">
        <f t="shared" ref="H127:R127" si="100">IF($E$114=0,0,$E$114/$G$114*H110)</f>
        <v>0</v>
      </c>
      <c r="I127" s="34">
        <f t="shared" si="100"/>
        <v>0</v>
      </c>
      <c r="J127" s="34">
        <f t="shared" si="100"/>
        <v>0</v>
      </c>
      <c r="K127" s="34">
        <f t="shared" si="100"/>
        <v>0</v>
      </c>
      <c r="L127" s="34">
        <f t="shared" si="100"/>
        <v>0</v>
      </c>
      <c r="M127" s="34">
        <f t="shared" si="100"/>
        <v>0</v>
      </c>
      <c r="N127" s="34">
        <f t="shared" si="100"/>
        <v>0</v>
      </c>
      <c r="O127" s="34">
        <f t="shared" si="100"/>
        <v>0</v>
      </c>
      <c r="P127" s="34">
        <f t="shared" si="100"/>
        <v>0</v>
      </c>
      <c r="Q127" s="34">
        <f t="shared" si="100"/>
        <v>0</v>
      </c>
      <c r="R127" s="34">
        <f t="shared" si="100"/>
        <v>0</v>
      </c>
      <c r="S127" s="502">
        <f>IF(E$114&gt;0,$G$114/$E$114*N$82,0)</f>
        <v>0</v>
      </c>
      <c r="T127" s="503"/>
      <c r="U127" s="500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</row>
    <row r="128" spans="1:43" x14ac:dyDescent="0.25">
      <c r="A128" s="212"/>
      <c r="B128" s="509"/>
      <c r="C128" s="34" t="s">
        <v>48</v>
      </c>
      <c r="D128" s="19">
        <f t="shared" ref="D128:Q128" si="101">IF(D127=S430,0,IF($U$124&lt;0,-D127*($S$124/$S$127)^1.2,-D127))</f>
        <v>0</v>
      </c>
      <c r="E128" s="19">
        <f t="shared" si="101"/>
        <v>0</v>
      </c>
      <c r="F128" s="19">
        <f t="shared" si="101"/>
        <v>0</v>
      </c>
      <c r="G128" s="19">
        <f t="shared" si="101"/>
        <v>0</v>
      </c>
      <c r="H128" s="19">
        <f t="shared" si="101"/>
        <v>0</v>
      </c>
      <c r="I128" s="19">
        <f t="shared" si="101"/>
        <v>0</v>
      </c>
      <c r="J128" s="19">
        <f t="shared" si="101"/>
        <v>0</v>
      </c>
      <c r="K128" s="19">
        <f t="shared" si="101"/>
        <v>0</v>
      </c>
      <c r="L128" s="19">
        <f t="shared" si="101"/>
        <v>0</v>
      </c>
      <c r="M128" s="19">
        <f t="shared" si="101"/>
        <v>0</v>
      </c>
      <c r="N128" s="19">
        <f t="shared" si="101"/>
        <v>0</v>
      </c>
      <c r="O128" s="19">
        <f t="shared" si="101"/>
        <v>0</v>
      </c>
      <c r="P128" s="19">
        <f t="shared" si="101"/>
        <v>0</v>
      </c>
      <c r="Q128" s="19">
        <f t="shared" si="101"/>
        <v>0</v>
      </c>
      <c r="R128" s="19">
        <f>IF(R127=AG430,0,IF($U$124&lt;0,-R127*($S$124/$S$127)^1.2,-R127))</f>
        <v>0</v>
      </c>
      <c r="S128" s="504"/>
      <c r="T128" s="505"/>
      <c r="U128" s="500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</row>
    <row r="129" spans="1:43" ht="17.25" thickBot="1" x14ac:dyDescent="0.3">
      <c r="A129" s="212"/>
      <c r="B129" s="510"/>
      <c r="C129" s="3" t="s">
        <v>44</v>
      </c>
      <c r="D129" s="23">
        <f>D127+D128</f>
        <v>0</v>
      </c>
      <c r="E129" s="23">
        <f t="shared" ref="E129:R129" si="102">E127+E128</f>
        <v>0</v>
      </c>
      <c r="F129" s="23">
        <f t="shared" si="102"/>
        <v>0</v>
      </c>
      <c r="G129" s="23">
        <f t="shared" si="102"/>
        <v>0</v>
      </c>
      <c r="H129" s="23">
        <f t="shared" si="102"/>
        <v>0</v>
      </c>
      <c r="I129" s="23">
        <f t="shared" si="102"/>
        <v>0</v>
      </c>
      <c r="J129" s="23">
        <f t="shared" si="102"/>
        <v>0</v>
      </c>
      <c r="K129" s="23">
        <f t="shared" si="102"/>
        <v>0</v>
      </c>
      <c r="L129" s="23">
        <f t="shared" si="102"/>
        <v>0</v>
      </c>
      <c r="M129" s="23">
        <f t="shared" si="102"/>
        <v>0</v>
      </c>
      <c r="N129" s="23">
        <f t="shared" si="102"/>
        <v>0</v>
      </c>
      <c r="O129" s="23">
        <f t="shared" si="102"/>
        <v>0</v>
      </c>
      <c r="P129" s="23">
        <f t="shared" si="102"/>
        <v>0</v>
      </c>
      <c r="Q129" s="23">
        <f t="shared" si="102"/>
        <v>0</v>
      </c>
      <c r="R129" s="23">
        <f t="shared" si="102"/>
        <v>0</v>
      </c>
      <c r="S129" s="506"/>
      <c r="T129" s="507"/>
      <c r="U129" s="501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</row>
    <row r="130" spans="1:43" x14ac:dyDescent="0.25">
      <c r="A130" s="212"/>
      <c r="B130" s="508" t="s">
        <v>50</v>
      </c>
      <c r="C130" s="9" t="s">
        <v>20</v>
      </c>
      <c r="D130" s="530"/>
      <c r="E130" s="9">
        <f>IF($G$114&gt;0,E$109,0)</f>
        <v>0</v>
      </c>
      <c r="F130" s="9">
        <f>IF($G$114&gt;0,F$109,0)</f>
        <v>0</v>
      </c>
      <c r="G130" s="530"/>
      <c r="H130" s="530"/>
      <c r="I130" s="530"/>
      <c r="J130" s="9">
        <f>IF($G$114&gt;0,J$109,0)</f>
        <v>0</v>
      </c>
      <c r="K130" s="530"/>
      <c r="L130" s="530"/>
      <c r="M130" s="9">
        <f>IF($G$114&gt;0,M$109,0)</f>
        <v>0</v>
      </c>
      <c r="N130" s="530"/>
      <c r="O130" s="9">
        <f>IF($G$114&gt;0,O$109,0)</f>
        <v>0</v>
      </c>
      <c r="P130" s="521"/>
      <c r="Q130" s="533"/>
      <c r="R130" s="522"/>
      <c r="S130" s="517">
        <f>F114</f>
        <v>0</v>
      </c>
      <c r="T130" s="518"/>
      <c r="U130" s="499">
        <f>S130-S133</f>
        <v>0</v>
      </c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</row>
    <row r="131" spans="1:43" x14ac:dyDescent="0.25">
      <c r="A131" s="212"/>
      <c r="B131" s="509"/>
      <c r="C131" s="34" t="s">
        <v>48</v>
      </c>
      <c r="D131" s="512"/>
      <c r="E131" s="19">
        <f>IF(E130=0,0,IF($U$130&gt;0,-E130*($S$133/$S$130)^1.2,-E130))</f>
        <v>0</v>
      </c>
      <c r="F131" s="19">
        <f>IF(F130=0,0,IF($U$130&gt;0,-F130*($S$133/$S$130)^1.2,-F130))</f>
        <v>0</v>
      </c>
      <c r="G131" s="512"/>
      <c r="H131" s="512"/>
      <c r="I131" s="512"/>
      <c r="J131" s="19">
        <f>IF(J130=0,0,IF($U$130&gt;0,-J130*($S$133/$S$130)^1.2,-J130))</f>
        <v>0</v>
      </c>
      <c r="K131" s="512"/>
      <c r="L131" s="512"/>
      <c r="M131" s="19">
        <f>IF(M130=0,0,IF($U$130&gt;0,-M130*($S$133/$S$130)^1.2,-M130))</f>
        <v>0</v>
      </c>
      <c r="N131" s="512"/>
      <c r="O131" s="19">
        <f>IF(O130=0,0,IF($U$130&gt;0,-O130*($S$133/$S$130)^1.2,-O130))</f>
        <v>0</v>
      </c>
      <c r="P131" s="523"/>
      <c r="Q131" s="534"/>
      <c r="R131" s="524"/>
      <c r="S131" s="504"/>
      <c r="T131" s="505"/>
      <c r="U131" s="500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</row>
    <row r="132" spans="1:43" x14ac:dyDescent="0.25">
      <c r="A132" s="212"/>
      <c r="B132" s="509"/>
      <c r="C132" s="34" t="s">
        <v>44</v>
      </c>
      <c r="D132" s="512"/>
      <c r="E132" s="22">
        <f>E130+E131</f>
        <v>0</v>
      </c>
      <c r="F132" s="22">
        <f>F130+F131</f>
        <v>0</v>
      </c>
      <c r="G132" s="512"/>
      <c r="H132" s="512"/>
      <c r="I132" s="512"/>
      <c r="J132" s="22">
        <f>J130+J131</f>
        <v>0</v>
      </c>
      <c r="K132" s="512"/>
      <c r="L132" s="512"/>
      <c r="M132" s="22">
        <f>M130+M131</f>
        <v>0</v>
      </c>
      <c r="N132" s="512"/>
      <c r="O132" s="22">
        <f>O130+O131</f>
        <v>0</v>
      </c>
      <c r="P132" s="525"/>
      <c r="Q132" s="535"/>
      <c r="R132" s="526"/>
      <c r="S132" s="519"/>
      <c r="T132" s="520"/>
      <c r="U132" s="500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</row>
    <row r="133" spans="1:43" x14ac:dyDescent="0.25">
      <c r="A133" s="212"/>
      <c r="B133" s="509"/>
      <c r="C133" s="34" t="s">
        <v>21</v>
      </c>
      <c r="D133" s="34">
        <f>IF($F$114=0,0,$F$114/$G$114*D110)</f>
        <v>0</v>
      </c>
      <c r="E133" s="34">
        <f t="shared" ref="E133:R133" si="103">IF($F$114=0,0,$F$114/$G$114*E110)</f>
        <v>0</v>
      </c>
      <c r="F133" s="34">
        <f t="shared" si="103"/>
        <v>0</v>
      </c>
      <c r="G133" s="34">
        <f t="shared" si="103"/>
        <v>0</v>
      </c>
      <c r="H133" s="34">
        <f t="shared" si="103"/>
        <v>0</v>
      </c>
      <c r="I133" s="34">
        <f t="shared" si="103"/>
        <v>0</v>
      </c>
      <c r="J133" s="34">
        <f t="shared" si="103"/>
        <v>0</v>
      </c>
      <c r="K133" s="34">
        <f t="shared" si="103"/>
        <v>0</v>
      </c>
      <c r="L133" s="34">
        <f t="shared" si="103"/>
        <v>0</v>
      </c>
      <c r="M133" s="34">
        <f t="shared" si="103"/>
        <v>0</v>
      </c>
      <c r="N133" s="34">
        <f t="shared" si="103"/>
        <v>0</v>
      </c>
      <c r="O133" s="34">
        <f t="shared" si="103"/>
        <v>0</v>
      </c>
      <c r="P133" s="34">
        <f t="shared" si="103"/>
        <v>0</v>
      </c>
      <c r="Q133" s="34">
        <f t="shared" si="103"/>
        <v>0</v>
      </c>
      <c r="R133" s="34">
        <f t="shared" si="103"/>
        <v>0</v>
      </c>
      <c r="S133" s="502">
        <f>IF(F$114&gt;0,$G$114/$F$114*O$82,0)</f>
        <v>0</v>
      </c>
      <c r="T133" s="503"/>
      <c r="U133" s="500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</row>
    <row r="134" spans="1:43" x14ac:dyDescent="0.25">
      <c r="A134" s="212"/>
      <c r="B134" s="509"/>
      <c r="C134" s="34" t="s">
        <v>48</v>
      </c>
      <c r="D134" s="19">
        <f t="shared" ref="D134:R134" si="104">IF(D133=S436,0,IF($U$130&lt;0,-D133*($S$130/$S$133)^1.2,-D133))</f>
        <v>0</v>
      </c>
      <c r="E134" s="19">
        <f t="shared" si="104"/>
        <v>0</v>
      </c>
      <c r="F134" s="19">
        <f t="shared" si="104"/>
        <v>0</v>
      </c>
      <c r="G134" s="19">
        <f t="shared" si="104"/>
        <v>0</v>
      </c>
      <c r="H134" s="19">
        <f t="shared" si="104"/>
        <v>0</v>
      </c>
      <c r="I134" s="19">
        <f t="shared" si="104"/>
        <v>0</v>
      </c>
      <c r="J134" s="19">
        <f t="shared" si="104"/>
        <v>0</v>
      </c>
      <c r="K134" s="19">
        <f t="shared" si="104"/>
        <v>0</v>
      </c>
      <c r="L134" s="19">
        <f t="shared" si="104"/>
        <v>0</v>
      </c>
      <c r="M134" s="19">
        <f t="shared" si="104"/>
        <v>0</v>
      </c>
      <c r="N134" s="19">
        <f t="shared" si="104"/>
        <v>0</v>
      </c>
      <c r="O134" s="19">
        <f t="shared" si="104"/>
        <v>0</v>
      </c>
      <c r="P134" s="19">
        <f t="shared" si="104"/>
        <v>0</v>
      </c>
      <c r="Q134" s="19">
        <f t="shared" si="104"/>
        <v>0</v>
      </c>
      <c r="R134" s="19">
        <f t="shared" si="104"/>
        <v>0</v>
      </c>
      <c r="S134" s="504"/>
      <c r="T134" s="505"/>
      <c r="U134" s="500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</row>
    <row r="135" spans="1:43" ht="17.25" thickBot="1" x14ac:dyDescent="0.3">
      <c r="A135" s="212"/>
      <c r="B135" s="510"/>
      <c r="C135" s="11" t="s">
        <v>44</v>
      </c>
      <c r="D135" s="25">
        <f>D133+D134</f>
        <v>0</v>
      </c>
      <c r="E135" s="25">
        <f t="shared" ref="E135:R135" si="105">E133+E134</f>
        <v>0</v>
      </c>
      <c r="F135" s="25">
        <f t="shared" si="105"/>
        <v>0</v>
      </c>
      <c r="G135" s="25">
        <f t="shared" si="105"/>
        <v>0</v>
      </c>
      <c r="H135" s="25">
        <f t="shared" si="105"/>
        <v>0</v>
      </c>
      <c r="I135" s="25">
        <f t="shared" si="105"/>
        <v>0</v>
      </c>
      <c r="J135" s="25">
        <f t="shared" si="105"/>
        <v>0</v>
      </c>
      <c r="K135" s="25">
        <f t="shared" si="105"/>
        <v>0</v>
      </c>
      <c r="L135" s="25">
        <f t="shared" si="105"/>
        <v>0</v>
      </c>
      <c r="M135" s="25">
        <f t="shared" si="105"/>
        <v>0</v>
      </c>
      <c r="N135" s="25">
        <f t="shared" si="105"/>
        <v>0</v>
      </c>
      <c r="O135" s="25">
        <f t="shared" si="105"/>
        <v>0</v>
      </c>
      <c r="P135" s="25">
        <f t="shared" si="105"/>
        <v>0</v>
      </c>
      <c r="Q135" s="25">
        <f t="shared" si="105"/>
        <v>0</v>
      </c>
      <c r="R135" s="25">
        <f t="shared" si="105"/>
        <v>0</v>
      </c>
      <c r="S135" s="506"/>
      <c r="T135" s="507"/>
      <c r="U135" s="501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</row>
  </sheetData>
  <sheetProtection formatCells="0" formatColumns="0" formatRows="0" insertColumns="0" insertRows="0" insertHyperlinks="0" deleteColumns="0" deleteRows="0" sort="0" autoFilter="0" pivotTables="0"/>
  <customSheetViews>
    <customSheetView guid="{754BBDAE-3FE2-41B7-9E16-92FAD5CD995A}">
      <selection activeCell="A16" sqref="A16"/>
      <pageMargins left="0.7" right="0.7" top="0.75" bottom="0.75" header="0.3" footer="0.3"/>
      <pageSetup paperSize="9" orientation="portrait" r:id="rId1"/>
    </customSheetView>
  </customSheetViews>
  <mergeCells count="175">
    <mergeCell ref="Y77:AM77"/>
    <mergeCell ref="Y78:Z78"/>
    <mergeCell ref="Y85:Z85"/>
    <mergeCell ref="Y92:Z92"/>
    <mergeCell ref="Y99:Z99"/>
    <mergeCell ref="Y26:Y27"/>
    <mergeCell ref="Y31:Y32"/>
    <mergeCell ref="Y35:Y38"/>
    <mergeCell ref="AH66:AI66"/>
    <mergeCell ref="Y63:Y64"/>
    <mergeCell ref="Y65:Y66"/>
    <mergeCell ref="X43:Z43"/>
    <mergeCell ref="Y52:Z52"/>
    <mergeCell ref="Y45:Z45"/>
    <mergeCell ref="Z48:AE48"/>
    <mergeCell ref="AG48:AL48"/>
    <mergeCell ref="Y49:Y51"/>
    <mergeCell ref="AF49:AF51"/>
    <mergeCell ref="U60:U65"/>
    <mergeCell ref="S63:T65"/>
    <mergeCell ref="S66:T68"/>
    <mergeCell ref="U66:U71"/>
    <mergeCell ref="S54:T56"/>
    <mergeCell ref="S57:T59"/>
    <mergeCell ref="S69:T71"/>
    <mergeCell ref="Y69:AM69"/>
    <mergeCell ref="AJ55:AK55"/>
    <mergeCell ref="Y57:AA57"/>
    <mergeCell ref="Z54:AA54"/>
    <mergeCell ref="AI61:AJ61"/>
    <mergeCell ref="AK60:AL60"/>
    <mergeCell ref="Y59:Y60"/>
    <mergeCell ref="Y61:Y62"/>
    <mergeCell ref="AG62:AH62"/>
    <mergeCell ref="AL64:AM64"/>
    <mergeCell ref="E27:E28"/>
    <mergeCell ref="B86:B91"/>
    <mergeCell ref="B85:C85"/>
    <mergeCell ref="L86:O88"/>
    <mergeCell ref="B54:B59"/>
    <mergeCell ref="B60:B65"/>
    <mergeCell ref="B66:B71"/>
    <mergeCell ref="E54:G56"/>
    <mergeCell ref="I54:J56"/>
    <mergeCell ref="J60:K62"/>
    <mergeCell ref="H60:H62"/>
    <mergeCell ref="D60:F62"/>
    <mergeCell ref="D66:D68"/>
    <mergeCell ref="G66:I68"/>
    <mergeCell ref="K66:L68"/>
    <mergeCell ref="C74:T74"/>
    <mergeCell ref="O60:P62"/>
    <mergeCell ref="Q86:R88"/>
    <mergeCell ref="S89:T91"/>
    <mergeCell ref="S60:T62"/>
    <mergeCell ref="U86:U91"/>
    <mergeCell ref="X2:Y2"/>
    <mergeCell ref="B2:D2"/>
    <mergeCell ref="C14:E14"/>
    <mergeCell ref="K17:L19"/>
    <mergeCell ref="C27:C29"/>
    <mergeCell ref="C23:C25"/>
    <mergeCell ref="D23:D24"/>
    <mergeCell ref="E23:E24"/>
    <mergeCell ref="F23:F24"/>
    <mergeCell ref="X14:AB14"/>
    <mergeCell ref="N17:P18"/>
    <mergeCell ref="J28:M28"/>
    <mergeCell ref="J29:M29"/>
    <mergeCell ref="E9:F9"/>
    <mergeCell ref="H28:H29"/>
    <mergeCell ref="K23:K24"/>
    <mergeCell ref="H23:H25"/>
    <mergeCell ref="I23:I24"/>
    <mergeCell ref="J23:J24"/>
    <mergeCell ref="B21:D21"/>
    <mergeCell ref="V7:W9"/>
    <mergeCell ref="T9:T12"/>
    <mergeCell ref="D27:D28"/>
    <mergeCell ref="M92:M94"/>
    <mergeCell ref="U118:U123"/>
    <mergeCell ref="S121:T123"/>
    <mergeCell ref="AI62:AJ62"/>
    <mergeCell ref="S4:T4"/>
    <mergeCell ref="S5:T5"/>
    <mergeCell ref="S6:T6"/>
    <mergeCell ref="S7:T7"/>
    <mergeCell ref="P66:R68"/>
    <mergeCell ref="R60:R62"/>
    <mergeCell ref="P98:R100"/>
    <mergeCell ref="R92:R94"/>
    <mergeCell ref="C51:T51"/>
    <mergeCell ref="S53:T53"/>
    <mergeCell ref="D46:D48"/>
    <mergeCell ref="C46:C48"/>
    <mergeCell ref="E46:E48"/>
    <mergeCell ref="F46:F48"/>
    <mergeCell ref="G46:G48"/>
    <mergeCell ref="S85:T85"/>
    <mergeCell ref="L80:L82"/>
    <mergeCell ref="M80:M81"/>
    <mergeCell ref="U98:U103"/>
    <mergeCell ref="S101:T103"/>
    <mergeCell ref="O92:P94"/>
    <mergeCell ref="U92:U97"/>
    <mergeCell ref="S95:T97"/>
    <mergeCell ref="N66:N68"/>
    <mergeCell ref="B53:C53"/>
    <mergeCell ref="U54:U59"/>
    <mergeCell ref="N80:N81"/>
    <mergeCell ref="O80:O81"/>
    <mergeCell ref="S98:T100"/>
    <mergeCell ref="M60:M62"/>
    <mergeCell ref="B98:B103"/>
    <mergeCell ref="D98:D100"/>
    <mergeCell ref="G98:I100"/>
    <mergeCell ref="K98:L100"/>
    <mergeCell ref="N98:N100"/>
    <mergeCell ref="B77:B78"/>
    <mergeCell ref="C80:C82"/>
    <mergeCell ref="D80:D81"/>
    <mergeCell ref="E80:E81"/>
    <mergeCell ref="F80:F81"/>
    <mergeCell ref="B92:B97"/>
    <mergeCell ref="D92:F94"/>
    <mergeCell ref="H92:H94"/>
    <mergeCell ref="J92:K94"/>
    <mergeCell ref="D130:D132"/>
    <mergeCell ref="G130:I132"/>
    <mergeCell ref="K130:L132"/>
    <mergeCell ref="N130:N132"/>
    <mergeCell ref="P130:R132"/>
    <mergeCell ref="S130:T132"/>
    <mergeCell ref="F27:F28"/>
    <mergeCell ref="C106:T106"/>
    <mergeCell ref="E86:G88"/>
    <mergeCell ref="I86:J88"/>
    <mergeCell ref="S86:T88"/>
    <mergeCell ref="L112:L114"/>
    <mergeCell ref="M112:M113"/>
    <mergeCell ref="N112:N113"/>
    <mergeCell ref="O112:O113"/>
    <mergeCell ref="L118:O120"/>
    <mergeCell ref="Q118:R120"/>
    <mergeCell ref="I118:J120"/>
    <mergeCell ref="S118:T120"/>
    <mergeCell ref="C112:C114"/>
    <mergeCell ref="D112:D113"/>
    <mergeCell ref="E112:E113"/>
    <mergeCell ref="F112:F113"/>
    <mergeCell ref="S92:T94"/>
    <mergeCell ref="F13:F14"/>
    <mergeCell ref="H13:K13"/>
    <mergeCell ref="H14:K14"/>
    <mergeCell ref="Y24:Y25"/>
    <mergeCell ref="AE28:AE29"/>
    <mergeCell ref="AF23:AF25"/>
    <mergeCell ref="U130:U135"/>
    <mergeCell ref="S133:T135"/>
    <mergeCell ref="B124:B129"/>
    <mergeCell ref="D124:F126"/>
    <mergeCell ref="H124:H126"/>
    <mergeCell ref="J124:K126"/>
    <mergeCell ref="M124:M126"/>
    <mergeCell ref="R124:R126"/>
    <mergeCell ref="S124:T126"/>
    <mergeCell ref="U124:U129"/>
    <mergeCell ref="S127:T129"/>
    <mergeCell ref="O124:P126"/>
    <mergeCell ref="B117:C117"/>
    <mergeCell ref="S117:T117"/>
    <mergeCell ref="B118:B123"/>
    <mergeCell ref="E118:G120"/>
    <mergeCell ref="B109:B110"/>
    <mergeCell ref="B130:B135"/>
  </mergeCells>
  <conditionalFormatting sqref="F29">
    <cfRule type="cellIs" dxfId="18" priority="32" operator="lessThan">
      <formula>0</formula>
    </cfRule>
    <cfRule type="cellIs" dxfId="17" priority="33" operator="greaterThan">
      <formula>0</formula>
    </cfRule>
    <cfRule type="cellIs" dxfId="16" priority="34" operator="greaterThan">
      <formula>0</formula>
    </cfRule>
    <cfRule type="colorScale" priority="40">
      <colorScale>
        <cfvo type="min"/>
        <cfvo type="percentile" val="0"/>
        <cfvo type="max"/>
        <color rgb="FFF8696B"/>
        <color theme="0"/>
        <color rgb="FF63BE7B"/>
      </colorScale>
    </cfRule>
  </conditionalFormatting>
  <conditionalFormatting sqref="U54 U66 U86 U98 U118 U130 D29:D32 F30:F32">
    <cfRule type="cellIs" dxfId="15" priority="37" operator="lessThan">
      <formula>0</formula>
    </cfRule>
    <cfRule type="cellIs" dxfId="14" priority="38" operator="greaterThan">
      <formula>0</formula>
    </cfRule>
  </conditionalFormatting>
  <conditionalFormatting sqref="E29:E32">
    <cfRule type="cellIs" dxfId="13" priority="35" operator="greaterThan">
      <formula>0</formula>
    </cfRule>
    <cfRule type="cellIs" dxfId="12" priority="36" operator="lessThan">
      <formula>0</formula>
    </cfRule>
  </conditionalFormatting>
  <conditionalFormatting sqref="U60 U92 U124">
    <cfRule type="cellIs" dxfId="11" priority="27" operator="greaterThan">
      <formula>0</formula>
    </cfRule>
    <cfRule type="cellIs" dxfId="10" priority="28" operator="lessThan">
      <formula>0</formula>
    </cfRule>
    <cfRule type="cellIs" dxfId="9" priority="29" operator="greaterThan">
      <formula>0</formula>
    </cfRule>
  </conditionalFormatting>
  <conditionalFormatting sqref="C14">
    <cfRule type="containsText" dxfId="8" priority="10" operator="containsText" text="defenseur">
      <formula>NOT(ISERROR(SEARCH("defenseur",C14)))</formula>
    </cfRule>
    <cfRule type="containsText" dxfId="7" priority="11" operator="containsText" text="nul">
      <formula>NOT(ISERROR(SEARCH("nul",C14)))</formula>
    </cfRule>
    <cfRule type="cellIs" dxfId="6" priority="12" operator="equal">
      <formula>"defenseur"</formula>
    </cfRule>
    <cfRule type="containsText" dxfId="5" priority="13" operator="containsText" text="attaquant">
      <formula>NOT(ISERROR(SEARCH("attaquant",C14)))</formula>
    </cfRule>
  </conditionalFormatting>
  <pageMargins left="0.7" right="0.7" top="0.75" bottom="0.75" header="0.3" footer="0.3"/>
  <pageSetup paperSize="9" orientation="portrait" r:id="rId2"/>
  <ignoredErrors>
    <ignoredError sqref="H77 M77:N77 O77 H109 M109:N109 O109 H6 O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60" zoomScaleNormal="60" workbookViewId="0">
      <selection activeCell="A11" sqref="A11"/>
    </sheetView>
  </sheetViews>
  <sheetFormatPr baseColWidth="10" defaultRowHeight="17.25" customHeight="1" x14ac:dyDescent="0.25"/>
  <cols>
    <col min="1" max="1" width="11.42578125" style="135" customWidth="1"/>
    <col min="2" max="2" width="11.85546875" style="135" customWidth="1"/>
    <col min="3" max="3" width="14.7109375" style="135" bestFit="1" customWidth="1"/>
    <col min="4" max="4" width="14.140625" style="135" bestFit="1" customWidth="1"/>
    <col min="5" max="6" width="14.7109375" style="135" bestFit="1" customWidth="1"/>
    <col min="7" max="7" width="13.7109375" style="135" bestFit="1" customWidth="1"/>
    <col min="8" max="10" width="11.42578125" style="135"/>
    <col min="11" max="11" width="6" style="135" customWidth="1"/>
    <col min="12" max="12" width="11.42578125" style="135" customWidth="1"/>
    <col min="13" max="13" width="6.140625" style="135" customWidth="1"/>
    <col min="14" max="14" width="14.7109375" style="135" bestFit="1" customWidth="1"/>
    <col min="15" max="15" width="11.42578125" style="135"/>
    <col min="16" max="16" width="12.5703125" style="135" customWidth="1"/>
    <col min="17" max="17" width="11.42578125" style="135"/>
    <col min="18" max="18" width="14" style="135" bestFit="1" customWidth="1"/>
    <col min="19" max="19" width="16.42578125" style="135" customWidth="1"/>
    <col min="20" max="20" width="12.42578125" style="135" customWidth="1"/>
    <col min="21" max="23" width="11.42578125" style="135"/>
    <col min="24" max="24" width="6" style="135" customWidth="1"/>
    <col min="25" max="16384" width="11.42578125" style="135"/>
  </cols>
  <sheetData>
    <row r="1" spans="1:28" ht="17.25" customHeight="1" x14ac:dyDescent="0.2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</row>
    <row r="2" spans="1:28" ht="17.25" customHeight="1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28" ht="31.5" customHeight="1" thickBot="1" x14ac:dyDescent="0.3">
      <c r="A3" s="199"/>
      <c r="B3" s="199"/>
      <c r="C3" s="179" t="s">
        <v>111</v>
      </c>
      <c r="D3" s="180" t="s">
        <v>30</v>
      </c>
      <c r="E3" s="181" t="s">
        <v>31</v>
      </c>
      <c r="F3" s="181" t="s">
        <v>110</v>
      </c>
      <c r="G3" s="181" t="s">
        <v>112</v>
      </c>
      <c r="H3" s="181" t="s">
        <v>32</v>
      </c>
      <c r="I3" s="182" t="s">
        <v>36</v>
      </c>
      <c r="J3" s="178"/>
      <c r="K3" s="178"/>
      <c r="L3" s="178"/>
      <c r="M3" s="199"/>
      <c r="N3" s="184" t="s">
        <v>37</v>
      </c>
      <c r="O3" s="186">
        <f>((D7*D4)+(E4*E7)+(H4*H7)+(I4*I7))*IF(T4=1,1.2,1)*IF(U4=1,1.1,1)*IF(V4=1,1.1,1)*IF(Y4=1,0.5,1)</f>
        <v>0</v>
      </c>
      <c r="P3" s="199"/>
      <c r="Q3" s="199"/>
      <c r="R3" s="199"/>
      <c r="S3" s="184" t="s">
        <v>53</v>
      </c>
      <c r="T3" s="185" t="s">
        <v>56</v>
      </c>
      <c r="U3" s="185" t="s">
        <v>63</v>
      </c>
      <c r="V3" s="185" t="s">
        <v>64</v>
      </c>
      <c r="W3" s="629" t="s">
        <v>117</v>
      </c>
      <c r="X3" s="629"/>
      <c r="Y3" s="186" t="s">
        <v>121</v>
      </c>
      <c r="Z3" s="199"/>
      <c r="AA3" s="199"/>
      <c r="AB3" s="199"/>
    </row>
    <row r="4" spans="1:28" ht="17.25" customHeight="1" x14ac:dyDescent="0.25">
      <c r="A4" s="199"/>
      <c r="B4" s="183" t="s">
        <v>33</v>
      </c>
      <c r="C4" s="657"/>
      <c r="D4" s="184">
        <v>24</v>
      </c>
      <c r="E4" s="185">
        <v>200</v>
      </c>
      <c r="F4" s="659"/>
      <c r="G4" s="660"/>
      <c r="H4" s="185">
        <v>180</v>
      </c>
      <c r="I4" s="186">
        <v>1000</v>
      </c>
      <c r="J4" s="178"/>
      <c r="K4" s="178"/>
      <c r="L4" s="178"/>
      <c r="M4" s="199"/>
      <c r="N4" s="191" t="s">
        <v>34</v>
      </c>
      <c r="O4" s="200">
        <f>((D5*D11)+(E5*E11)+(H5*H11)+(I5*I11))*IF(T5=1,1.2,1)*IF(U5=1,1.1,1)</f>
        <v>0</v>
      </c>
      <c r="P4" s="199"/>
      <c r="Q4" s="199"/>
      <c r="R4" s="199"/>
      <c r="S4" s="191" t="s">
        <v>20</v>
      </c>
      <c r="T4" s="301">
        <v>0</v>
      </c>
      <c r="U4" s="301">
        <v>0</v>
      </c>
      <c r="V4" s="301">
        <v>0</v>
      </c>
      <c r="W4" s="663">
        <v>0</v>
      </c>
      <c r="X4" s="663"/>
      <c r="Y4" s="216">
        <v>0</v>
      </c>
      <c r="Z4" s="199"/>
      <c r="AA4" s="199"/>
      <c r="AB4" s="199"/>
    </row>
    <row r="5" spans="1:28" ht="17.25" customHeight="1" thickBot="1" x14ac:dyDescent="0.3">
      <c r="A5" s="199"/>
      <c r="B5" s="147" t="s">
        <v>35</v>
      </c>
      <c r="C5" s="658"/>
      <c r="D5" s="148">
        <v>160</v>
      </c>
      <c r="E5" s="149">
        <v>60</v>
      </c>
      <c r="F5" s="661"/>
      <c r="G5" s="662"/>
      <c r="H5" s="149">
        <v>260</v>
      </c>
      <c r="I5" s="150">
        <v>715</v>
      </c>
      <c r="J5" s="139"/>
      <c r="K5" s="178"/>
      <c r="L5" s="178"/>
      <c r="N5" s="148" t="s">
        <v>38</v>
      </c>
      <c r="O5" s="150" t="str">
        <f>IF(O3,O3-O4," ")</f>
        <v xml:space="preserve"> </v>
      </c>
      <c r="P5" s="199"/>
      <c r="Q5" s="199"/>
      <c r="R5" s="199"/>
      <c r="S5" s="187" t="s">
        <v>21</v>
      </c>
      <c r="T5" s="215">
        <v>0</v>
      </c>
      <c r="U5" s="215">
        <v>0</v>
      </c>
      <c r="V5" s="177"/>
      <c r="W5" s="611">
        <v>0</v>
      </c>
      <c r="X5" s="611"/>
      <c r="Y5" s="204"/>
      <c r="Z5" s="199"/>
      <c r="AA5" s="199"/>
      <c r="AB5" s="199"/>
    </row>
    <row r="6" spans="1:28" ht="17.25" customHeight="1" thickBot="1" x14ac:dyDescent="0.3">
      <c r="A6" s="199"/>
      <c r="B6" s="199"/>
      <c r="C6" s="199"/>
      <c r="D6" s="199"/>
      <c r="E6" s="199"/>
      <c r="F6" s="199"/>
      <c r="G6" s="199"/>
      <c r="H6" s="199"/>
      <c r="I6" s="199"/>
      <c r="J6" s="172" t="s">
        <v>47</v>
      </c>
      <c r="K6" s="178"/>
      <c r="L6" s="178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</row>
    <row r="7" spans="1:28" ht="17.25" customHeight="1" x14ac:dyDescent="0.25">
      <c r="A7" s="199"/>
      <c r="B7" s="142" t="s">
        <v>20</v>
      </c>
      <c r="C7" s="168"/>
      <c r="D7" s="168"/>
      <c r="E7" s="168"/>
      <c r="F7" s="168"/>
      <c r="G7" s="168"/>
      <c r="H7" s="168"/>
      <c r="I7" s="173"/>
      <c r="J7" s="145">
        <f>SUM(C7:I7)</f>
        <v>0</v>
      </c>
      <c r="K7" s="178"/>
      <c r="L7" s="178"/>
      <c r="M7" s="199"/>
      <c r="N7" s="651" t="str">
        <f>IF(J9&gt;0,"L'attaquant est passé",IF(AND(J9=0,J13-F13=0),"Match nul","Le défenseur a gagné"))</f>
        <v>Match nul</v>
      </c>
      <c r="O7" s="652"/>
      <c r="P7" s="199"/>
      <c r="Q7" s="199"/>
      <c r="R7" s="199"/>
      <c r="S7" s="199"/>
      <c r="T7" s="636" t="s">
        <v>65</v>
      </c>
      <c r="U7" s="637"/>
      <c r="V7" s="638"/>
      <c r="W7" s="199"/>
      <c r="X7" s="199"/>
      <c r="Y7" s="199"/>
      <c r="Z7" s="199"/>
      <c r="AA7" s="199"/>
      <c r="AB7" s="199"/>
    </row>
    <row r="8" spans="1:28" ht="17.25" customHeight="1" x14ac:dyDescent="0.25">
      <c r="A8" s="199"/>
      <c r="B8" s="169" t="s">
        <v>48</v>
      </c>
      <c r="C8" s="195">
        <f>ROUND(C27,0)</f>
        <v>0</v>
      </c>
      <c r="D8" s="195">
        <f>ROUND(D18+D27,0)</f>
        <v>0</v>
      </c>
      <c r="E8" s="195">
        <f>ROUND(E18+E27,0)</f>
        <v>0</v>
      </c>
      <c r="F8" s="195">
        <f>ROUND(F27,0)</f>
        <v>0</v>
      </c>
      <c r="G8" s="195">
        <f>ROUND(G27,0)</f>
        <v>0</v>
      </c>
      <c r="H8" s="195">
        <f>ROUND(H18+H27,0)</f>
        <v>0</v>
      </c>
      <c r="I8" s="195">
        <f>ROUND(I18+I27,0)</f>
        <v>0</v>
      </c>
      <c r="J8" s="196">
        <f>SUM(C8:I8)</f>
        <v>0</v>
      </c>
      <c r="K8" s="178"/>
      <c r="L8" s="178"/>
      <c r="M8" s="199"/>
      <c r="N8" s="653"/>
      <c r="O8" s="654"/>
      <c r="P8" s="199"/>
      <c r="Q8" s="199"/>
      <c r="R8" s="199"/>
      <c r="S8" s="199"/>
      <c r="T8" s="623"/>
      <c r="U8" s="639"/>
      <c r="V8" s="640"/>
      <c r="W8" s="199"/>
      <c r="X8" s="199"/>
      <c r="Y8" s="199"/>
      <c r="Z8" s="199"/>
      <c r="AA8" s="199"/>
      <c r="AB8" s="199"/>
    </row>
    <row r="9" spans="1:28" ht="17.25" customHeight="1" thickBot="1" x14ac:dyDescent="0.3">
      <c r="A9" s="199"/>
      <c r="B9" s="148" t="s">
        <v>44</v>
      </c>
      <c r="C9" s="197">
        <f>C7+C8</f>
        <v>0</v>
      </c>
      <c r="D9" s="197">
        <f>D7+D8</f>
        <v>0</v>
      </c>
      <c r="E9" s="197">
        <f t="shared" ref="E9:I9" si="0">E7+E8</f>
        <v>0</v>
      </c>
      <c r="F9" s="197">
        <f t="shared" si="0"/>
        <v>0</v>
      </c>
      <c r="G9" s="197">
        <f t="shared" si="0"/>
        <v>0</v>
      </c>
      <c r="H9" s="197">
        <f t="shared" si="0"/>
        <v>0</v>
      </c>
      <c r="I9" s="197">
        <f t="shared" si="0"/>
        <v>0</v>
      </c>
      <c r="J9" s="198">
        <f>SUM(C9:I9)</f>
        <v>0</v>
      </c>
      <c r="K9" s="178"/>
      <c r="L9" s="178"/>
      <c r="M9" s="199"/>
      <c r="N9" s="653"/>
      <c r="O9" s="654"/>
      <c r="P9" s="199"/>
      <c r="Q9" s="199"/>
      <c r="R9" s="199"/>
      <c r="S9" s="199"/>
      <c r="T9" s="623"/>
      <c r="U9" s="639"/>
      <c r="V9" s="640"/>
      <c r="W9" s="199"/>
      <c r="X9" s="199"/>
      <c r="Y9" s="199"/>
      <c r="Z9" s="199"/>
      <c r="AA9" s="199"/>
      <c r="AB9" s="199"/>
    </row>
    <row r="10" spans="1:28" ht="17.25" customHeight="1" thickBot="1" x14ac:dyDescent="0.3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655"/>
      <c r="O10" s="656"/>
      <c r="P10" s="199"/>
      <c r="Q10" s="199"/>
      <c r="R10" s="199"/>
      <c r="S10" s="199"/>
      <c r="T10" s="623"/>
      <c r="U10" s="639"/>
      <c r="V10" s="640"/>
      <c r="W10" s="199"/>
      <c r="X10" s="199"/>
      <c r="Y10" s="199"/>
      <c r="Z10" s="199"/>
      <c r="AA10" s="199"/>
      <c r="AB10" s="199"/>
    </row>
    <row r="11" spans="1:28" ht="17.25" customHeight="1" thickBot="1" x14ac:dyDescent="0.3">
      <c r="A11" s="199"/>
      <c r="B11" s="142" t="s">
        <v>21</v>
      </c>
      <c r="C11" s="168"/>
      <c r="D11" s="168"/>
      <c r="E11" s="168"/>
      <c r="F11" s="168"/>
      <c r="G11" s="168"/>
      <c r="H11" s="168"/>
      <c r="I11" s="168"/>
      <c r="J11" s="145">
        <f>SUM(C11:I11)</f>
        <v>0</v>
      </c>
      <c r="K11" s="178"/>
      <c r="L11" s="178"/>
      <c r="M11" s="199"/>
      <c r="N11" s="199"/>
      <c r="O11" s="199"/>
      <c r="P11" s="199"/>
      <c r="Q11" s="199"/>
      <c r="R11" s="199"/>
      <c r="S11" s="199"/>
      <c r="T11" s="624"/>
      <c r="U11" s="641"/>
      <c r="V11" s="642"/>
      <c r="W11" s="199"/>
      <c r="X11" s="199"/>
      <c r="Y11" s="199"/>
      <c r="Z11" s="199"/>
      <c r="AA11" s="199"/>
      <c r="AB11" s="199"/>
    </row>
    <row r="12" spans="1:28" ht="17.25" customHeight="1" x14ac:dyDescent="0.25">
      <c r="A12" s="199"/>
      <c r="B12" s="169" t="s">
        <v>48</v>
      </c>
      <c r="C12" s="195">
        <f>ROUND(C21,0)</f>
        <v>0</v>
      </c>
      <c r="D12" s="195">
        <f>ROUND(D21,0)</f>
        <v>0</v>
      </c>
      <c r="E12" s="195">
        <f>ROUND(E21,0)</f>
        <v>0</v>
      </c>
      <c r="F12" s="195">
        <f>F30</f>
        <v>0</v>
      </c>
      <c r="G12" s="195">
        <f>ROUND(G21,0)</f>
        <v>0</v>
      </c>
      <c r="H12" s="195">
        <f>ROUND(H21,0)</f>
        <v>0</v>
      </c>
      <c r="I12" s="195">
        <f>ROUND(I21,0)</f>
        <v>0</v>
      </c>
      <c r="J12" s="196">
        <f>SUM(C12:I12)</f>
        <v>0</v>
      </c>
      <c r="K12" s="178"/>
      <c r="L12" s="300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</row>
    <row r="13" spans="1:28" ht="17.25" customHeight="1" thickBot="1" x14ac:dyDescent="0.3">
      <c r="A13" s="199"/>
      <c r="B13" s="148" t="s">
        <v>44</v>
      </c>
      <c r="C13" s="197">
        <f>C11+C12</f>
        <v>0</v>
      </c>
      <c r="D13" s="197">
        <f t="shared" ref="D13:I13" si="1">D11+D12</f>
        <v>0</v>
      </c>
      <c r="E13" s="197">
        <f t="shared" si="1"/>
        <v>0</v>
      </c>
      <c r="F13" s="197">
        <f t="shared" si="1"/>
        <v>0</v>
      </c>
      <c r="G13" s="197">
        <f t="shared" si="1"/>
        <v>0</v>
      </c>
      <c r="H13" s="197">
        <f t="shared" si="1"/>
        <v>0</v>
      </c>
      <c r="I13" s="197">
        <f t="shared" si="1"/>
        <v>0</v>
      </c>
      <c r="J13" s="198">
        <f>SUM(C13:I13)</f>
        <v>0</v>
      </c>
      <c r="K13" s="178"/>
      <c r="L13" s="300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</row>
    <row r="14" spans="1:28" ht="17.25" customHeight="1" thickBot="1" x14ac:dyDescent="0.3">
      <c r="A14" s="199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</row>
    <row r="15" spans="1:28" ht="17.25" customHeight="1" thickBot="1" x14ac:dyDescent="0.3">
      <c r="A15" s="199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612" t="s">
        <v>115</v>
      </c>
      <c r="N15" s="613"/>
      <c r="O15" s="614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</row>
    <row r="16" spans="1:28" ht="17.25" customHeight="1" thickBot="1" x14ac:dyDescent="0.3">
      <c r="A16" s="199"/>
      <c r="B16" s="626" t="s">
        <v>73</v>
      </c>
      <c r="C16" s="627"/>
      <c r="D16" s="627"/>
      <c r="E16" s="627"/>
      <c r="F16" s="627"/>
      <c r="G16" s="627"/>
      <c r="H16" s="627"/>
      <c r="I16" s="628"/>
      <c r="J16" s="141" t="s">
        <v>47</v>
      </c>
      <c r="K16" s="178"/>
      <c r="L16" s="178"/>
      <c r="M16" s="615"/>
      <c r="N16" s="616"/>
      <c r="O16" s="617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</row>
    <row r="17" spans="1:28" ht="17.25" customHeight="1" x14ac:dyDescent="0.25">
      <c r="A17" s="199"/>
      <c r="B17" s="142" t="s">
        <v>20</v>
      </c>
      <c r="C17" s="643"/>
      <c r="D17" s="143">
        <f>D7</f>
        <v>0</v>
      </c>
      <c r="E17" s="143">
        <f>E7</f>
        <v>0</v>
      </c>
      <c r="F17" s="644"/>
      <c r="G17" s="645"/>
      <c r="H17" s="143">
        <f>H7</f>
        <v>0</v>
      </c>
      <c r="I17" s="171">
        <f>I7</f>
        <v>0</v>
      </c>
      <c r="J17" s="145">
        <f t="shared" ref="J17:J22" si="2">SUM(C17:I17)</f>
        <v>0</v>
      </c>
      <c r="K17" s="178"/>
      <c r="L17" s="178"/>
      <c r="M17" s="615"/>
      <c r="N17" s="616"/>
      <c r="O17" s="617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</row>
    <row r="18" spans="1:28" ht="17.25" customHeight="1" x14ac:dyDescent="0.25">
      <c r="A18" s="199"/>
      <c r="B18" s="169" t="s">
        <v>48</v>
      </c>
      <c r="C18" s="634"/>
      <c r="D18" s="195">
        <f>ROUND(IF($O$3&gt;0,IF($O$5&gt;0,-(($O$4/$O$3)^1.2)*D17,-D17),0),0)</f>
        <v>0</v>
      </c>
      <c r="E18" s="195">
        <f>ROUND(IF($O$3&gt;0,IF($O$5&gt;0,-(($O$4/$O$3)^1.2)*E17,-E17),0),0)</f>
        <v>0</v>
      </c>
      <c r="F18" s="646"/>
      <c r="G18" s="647"/>
      <c r="H18" s="195">
        <f>ROUND(IF($O$3&gt;0,IF($O$5&gt;0,-(($O$4/$O$3)^1.2)*H17,-H17),0),0)</f>
        <v>0</v>
      </c>
      <c r="I18" s="195">
        <f>ROUND(IF($O$3&gt;0,IF($O$5&gt;0,-(($O$4/$O$3)^1.2)*I17,-I17),0),0)</f>
        <v>0</v>
      </c>
      <c r="J18" s="196">
        <f t="shared" si="2"/>
        <v>0</v>
      </c>
      <c r="K18" s="178"/>
      <c r="L18" s="300"/>
      <c r="M18" s="615"/>
      <c r="N18" s="616"/>
      <c r="O18" s="617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</row>
    <row r="19" spans="1:28" ht="17.25" customHeight="1" thickBot="1" x14ac:dyDescent="0.3">
      <c r="A19" s="199"/>
      <c r="B19" s="148" t="s">
        <v>114</v>
      </c>
      <c r="C19" s="634"/>
      <c r="D19" s="197">
        <f>D17+D18</f>
        <v>0</v>
      </c>
      <c r="E19" s="197">
        <f>E17+E18</f>
        <v>0</v>
      </c>
      <c r="F19" s="646"/>
      <c r="G19" s="647"/>
      <c r="H19" s="197">
        <f>H17+H18</f>
        <v>0</v>
      </c>
      <c r="I19" s="197">
        <f>I17+I18</f>
        <v>0</v>
      </c>
      <c r="J19" s="461">
        <f t="shared" si="2"/>
        <v>0</v>
      </c>
      <c r="K19" s="178"/>
      <c r="L19" s="178"/>
      <c r="M19" s="615"/>
      <c r="N19" s="616"/>
      <c r="O19" s="617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</row>
    <row r="20" spans="1:28" ht="17.25" customHeight="1" x14ac:dyDescent="0.25">
      <c r="A20" s="199"/>
      <c r="B20" s="174" t="s">
        <v>81</v>
      </c>
      <c r="C20" s="634"/>
      <c r="D20" s="146">
        <f>D11</f>
        <v>0</v>
      </c>
      <c r="E20" s="146">
        <f>E11</f>
        <v>0</v>
      </c>
      <c r="F20" s="646"/>
      <c r="G20" s="648"/>
      <c r="H20" s="143">
        <f>H11</f>
        <v>0</v>
      </c>
      <c r="I20" s="171">
        <f>I11</f>
        <v>0</v>
      </c>
      <c r="J20" s="145">
        <f t="shared" si="2"/>
        <v>0</v>
      </c>
      <c r="K20" s="178"/>
      <c r="L20" s="178"/>
      <c r="M20" s="615"/>
      <c r="N20" s="616"/>
      <c r="O20" s="617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</row>
    <row r="21" spans="1:28" ht="17.25" customHeight="1" x14ac:dyDescent="0.25">
      <c r="A21" s="199"/>
      <c r="B21" s="169" t="s">
        <v>48</v>
      </c>
      <c r="C21" s="634"/>
      <c r="D21" s="195">
        <f>ROUND(IF($O$5&lt;0,-(($O$3/$O$4)^1.2)*D20,-D20),0)</f>
        <v>0</v>
      </c>
      <c r="E21" s="195">
        <f>ROUND(IF($O$5&lt;0,-(($O$3/$O$4)^1.2)*E20,-E20),0)</f>
        <v>0</v>
      </c>
      <c r="F21" s="646"/>
      <c r="G21" s="648"/>
      <c r="H21" s="195">
        <f>ROUND(IF($O$5&lt;0,-(($O$3/$O$4)^1.2)*H20,-H20),0)</f>
        <v>0</v>
      </c>
      <c r="I21" s="195">
        <f>ROUND(IF($O$5&lt;0,-(($O$3/$O$4)^1.2)*I20,-I20),0)</f>
        <v>0</v>
      </c>
      <c r="J21" s="196">
        <f t="shared" si="2"/>
        <v>0</v>
      </c>
      <c r="K21" s="178"/>
      <c r="L21" s="178"/>
      <c r="M21" s="615"/>
      <c r="N21" s="616"/>
      <c r="O21" s="617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</row>
    <row r="22" spans="1:28" ht="17.25" customHeight="1" thickBot="1" x14ac:dyDescent="0.3">
      <c r="A22" s="199"/>
      <c r="B22" s="148" t="s">
        <v>44</v>
      </c>
      <c r="C22" s="635"/>
      <c r="D22" s="197">
        <f>D20+D21</f>
        <v>0</v>
      </c>
      <c r="E22" s="197">
        <f>E20+E21</f>
        <v>0</v>
      </c>
      <c r="F22" s="649"/>
      <c r="G22" s="650"/>
      <c r="H22" s="197">
        <f>H20+H21</f>
        <v>0</v>
      </c>
      <c r="I22" s="197">
        <f>I20+I21</f>
        <v>0</v>
      </c>
      <c r="J22" s="198">
        <f t="shared" si="2"/>
        <v>0</v>
      </c>
      <c r="K22" s="178"/>
      <c r="L22" s="178"/>
      <c r="M22" s="615"/>
      <c r="N22" s="616"/>
      <c r="O22" s="617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</row>
    <row r="23" spans="1:28" ht="17.25" customHeight="1" thickBot="1" x14ac:dyDescent="0.3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618"/>
      <c r="N23" s="619"/>
      <c r="O23" s="620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</row>
    <row r="24" spans="1:28" ht="17.25" customHeight="1" thickBot="1" x14ac:dyDescent="0.3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201"/>
      <c r="O24" s="201"/>
      <c r="Q24" s="136" t="s">
        <v>111</v>
      </c>
      <c r="R24" s="167" t="s">
        <v>30</v>
      </c>
      <c r="S24" s="137" t="s">
        <v>31</v>
      </c>
      <c r="T24" s="137" t="s">
        <v>110</v>
      </c>
      <c r="U24" s="137" t="s">
        <v>116</v>
      </c>
      <c r="V24" s="137" t="s">
        <v>32</v>
      </c>
      <c r="W24" s="138" t="s">
        <v>36</v>
      </c>
      <c r="X24" s="199"/>
      <c r="Y24" s="199"/>
      <c r="Z24" s="199"/>
      <c r="AA24" s="199"/>
      <c r="AB24" s="199"/>
    </row>
    <row r="25" spans="1:28" ht="17.25" customHeight="1" thickBot="1" x14ac:dyDescent="0.3">
      <c r="A25" s="199"/>
      <c r="B25" s="626" t="s">
        <v>74</v>
      </c>
      <c r="C25" s="627"/>
      <c r="D25" s="627"/>
      <c r="E25" s="627"/>
      <c r="F25" s="627"/>
      <c r="G25" s="627"/>
      <c r="H25" s="627"/>
      <c r="I25" s="628"/>
      <c r="J25" s="141" t="s">
        <v>47</v>
      </c>
      <c r="K25" s="199"/>
      <c r="L25" s="199"/>
      <c r="M25" s="199"/>
      <c r="N25" s="199"/>
      <c r="O25" s="199"/>
      <c r="P25" s="142" t="s">
        <v>75</v>
      </c>
      <c r="Q25" s="175">
        <v>500</v>
      </c>
      <c r="R25" s="175">
        <v>800</v>
      </c>
      <c r="S25" s="175">
        <v>1300</v>
      </c>
      <c r="T25" s="175">
        <v>500</v>
      </c>
      <c r="U25" s="175">
        <v>800</v>
      </c>
      <c r="V25" s="175">
        <v>2000</v>
      </c>
      <c r="W25" s="193">
        <v>5400</v>
      </c>
      <c r="X25" s="199"/>
      <c r="Y25" s="199"/>
      <c r="Z25" s="199"/>
      <c r="AA25" s="199"/>
      <c r="AB25" s="199"/>
    </row>
    <row r="26" spans="1:28" ht="17.25" customHeight="1" thickBot="1" x14ac:dyDescent="0.3">
      <c r="A26" s="199"/>
      <c r="B26" s="142" t="s">
        <v>20</v>
      </c>
      <c r="C26" s="175">
        <f>C7</f>
        <v>0</v>
      </c>
      <c r="D26" s="143">
        <f>D19</f>
        <v>0</v>
      </c>
      <c r="E26" s="143">
        <f>ROUND(E19,0)</f>
        <v>0</v>
      </c>
      <c r="F26" s="633"/>
      <c r="G26" s="175">
        <f>G7</f>
        <v>0</v>
      </c>
      <c r="H26" s="143">
        <f>H19</f>
        <v>0</v>
      </c>
      <c r="I26" s="143">
        <f>I19</f>
        <v>0</v>
      </c>
      <c r="J26" s="145">
        <f t="shared" ref="J26:J31" si="3">SUM(C26:I26)</f>
        <v>0</v>
      </c>
      <c r="K26" s="178"/>
      <c r="L26" s="178"/>
      <c r="M26" s="199"/>
      <c r="N26" s="199"/>
      <c r="O26" s="199"/>
      <c r="P26" s="169" t="s">
        <v>76</v>
      </c>
      <c r="Q26" s="176">
        <v>500</v>
      </c>
      <c r="R26" s="176">
        <v>700</v>
      </c>
      <c r="S26" s="176">
        <v>300</v>
      </c>
      <c r="T26" s="176">
        <v>750</v>
      </c>
      <c r="U26" s="176">
        <v>0</v>
      </c>
      <c r="V26" s="176">
        <v>1300</v>
      </c>
      <c r="W26" s="194">
        <v>2800</v>
      </c>
      <c r="X26" s="199"/>
      <c r="Y26" s="199"/>
      <c r="Z26" s="199"/>
      <c r="AA26" s="199"/>
      <c r="AB26" s="199"/>
    </row>
    <row r="27" spans="1:28" ht="17.25" customHeight="1" thickBot="1" x14ac:dyDescent="0.3">
      <c r="A27" s="199"/>
      <c r="B27" s="169" t="s">
        <v>48</v>
      </c>
      <c r="C27" s="460">
        <f>ROUND(IF($O$3&gt;0,IF(AND(C7&gt;0,$J$19=0),IF($Y$4=1,-($O$4-($O$3*3*2))/($O$4+$O$3*2)*C26,-($O$4-$O$3)/($O$4+$O$3)*C26),0),0),0)</f>
        <v>0</v>
      </c>
      <c r="D27" s="195">
        <f>ROUND(IF(AND(D26&gt;0,$F$11&gt;1),IF((D26/($J$26-$C$26-$G$26))*$F$29&gt;D26,-D26,-(D26/($J$26-$C$26-$G$26))*$F$29),0),0)</f>
        <v>0</v>
      </c>
      <c r="E27" s="195">
        <f>ROUND(IF(AND(E26&gt;0,$F$11&gt;1),IF((E26/($J$26-$C$26-$G$26))*$F$29&gt;E26,-E26,-(E26/($J$26-$C$26-$G$26))*$F$29),0),0)</f>
        <v>0</v>
      </c>
      <c r="F27" s="633"/>
      <c r="G27" s="460">
        <f>ROUND(IF($O$3&gt;0,IF(AND(G7&gt;0,$J$19=0),IF($Y$4=1,-($O$4-($O$3*3*2))/($O$4+$O$3*2)*G26,-($O$4-$O$3)/($O$4+$O$3)*G26),0),0),0)</f>
        <v>0</v>
      </c>
      <c r="H27" s="195">
        <f>ROUND(IF(AND(H26&gt;0,$F$11&gt;1),IF((H26/($J$26-$C$26-$G$26))*$F$29&gt;H26,-H26,-(H26/($J$26-$C$26-$G$26))*$F$29),0),0)</f>
        <v>0</v>
      </c>
      <c r="I27" s="195">
        <f>ROUND(IF(AND(I26&gt;0,$F$11&gt;1),IF((I26/($J$26-$C$26-$G$26))*$F$29&gt;I26,-I26,-(I26/($J$26-$C$26-$G$26))*$F$29),0),0)</f>
        <v>0</v>
      </c>
      <c r="J27" s="196">
        <f t="shared" si="3"/>
        <v>0</v>
      </c>
      <c r="K27" s="178"/>
      <c r="L27" s="300"/>
      <c r="M27" s="199"/>
      <c r="N27" s="199"/>
      <c r="O27" s="199"/>
      <c r="P27" s="267" t="s">
        <v>77</v>
      </c>
      <c r="Q27" s="268">
        <v>400</v>
      </c>
      <c r="R27" s="268">
        <v>180</v>
      </c>
      <c r="S27" s="268">
        <v>800</v>
      </c>
      <c r="T27" s="268">
        <v>150</v>
      </c>
      <c r="U27" s="268">
        <v>400</v>
      </c>
      <c r="V27" s="268">
        <v>900</v>
      </c>
      <c r="W27" s="269">
        <v>3800</v>
      </c>
      <c r="X27" s="199"/>
      <c r="Y27" s="199"/>
      <c r="Z27" s="199"/>
      <c r="AA27" s="199"/>
      <c r="AB27" s="199"/>
    </row>
    <row r="28" spans="1:28" ht="17.25" customHeight="1" thickBot="1" x14ac:dyDescent="0.3">
      <c r="A28" s="199"/>
      <c r="B28" s="148" t="s">
        <v>114</v>
      </c>
      <c r="C28" s="197">
        <f>C26+C27</f>
        <v>0</v>
      </c>
      <c r="D28" s="197">
        <f>D26+D27</f>
        <v>0</v>
      </c>
      <c r="E28" s="197">
        <f>E26+E27</f>
        <v>0</v>
      </c>
      <c r="F28" s="633"/>
      <c r="G28" s="462">
        <f>G26+G27</f>
        <v>0</v>
      </c>
      <c r="H28" s="197">
        <f>H26+H27</f>
        <v>0</v>
      </c>
      <c r="I28" s="197">
        <f>I26+I27</f>
        <v>0</v>
      </c>
      <c r="J28" s="461">
        <f t="shared" si="3"/>
        <v>0</v>
      </c>
      <c r="K28" s="178"/>
      <c r="L28" s="178"/>
      <c r="M28" s="199"/>
      <c r="N28" s="199"/>
      <c r="O28" s="199"/>
      <c r="P28" s="187" t="s">
        <v>128</v>
      </c>
      <c r="Q28" s="188">
        <v>7</v>
      </c>
      <c r="R28" s="188">
        <v>8</v>
      </c>
      <c r="S28" s="188">
        <v>10</v>
      </c>
      <c r="T28" s="188">
        <v>8</v>
      </c>
      <c r="U28" s="188">
        <v>5</v>
      </c>
      <c r="V28" s="188">
        <v>16</v>
      </c>
      <c r="W28" s="189">
        <v>50</v>
      </c>
      <c r="X28" s="199"/>
      <c r="Y28" s="199"/>
      <c r="Z28" s="199"/>
      <c r="AA28" s="199"/>
      <c r="AB28" s="199"/>
    </row>
    <row r="29" spans="1:28" ht="17.25" customHeight="1" thickBot="1" x14ac:dyDescent="0.3">
      <c r="A29" s="199"/>
      <c r="B29" s="174" t="s">
        <v>81</v>
      </c>
      <c r="C29" s="634"/>
      <c r="D29" s="143">
        <f>D22</f>
        <v>0</v>
      </c>
      <c r="E29" s="143">
        <f>E22</f>
        <v>0</v>
      </c>
      <c r="F29" s="175">
        <f>F11</f>
        <v>0</v>
      </c>
      <c r="G29" s="633"/>
      <c r="H29" s="143">
        <f>H22</f>
        <v>0</v>
      </c>
      <c r="I29" s="143">
        <f>I22</f>
        <v>0</v>
      </c>
      <c r="J29" s="145">
        <f t="shared" si="3"/>
        <v>0</v>
      </c>
      <c r="K29" s="178"/>
      <c r="L29" s="178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</row>
    <row r="30" spans="1:28" ht="17.25" customHeight="1" thickBot="1" x14ac:dyDescent="0.3">
      <c r="A30" s="199"/>
      <c r="B30" s="169" t="s">
        <v>48</v>
      </c>
      <c r="C30" s="634"/>
      <c r="D30" s="195">
        <v>0</v>
      </c>
      <c r="E30" s="195">
        <v>0</v>
      </c>
      <c r="F30" s="460">
        <f>IF(AND(F29&gt;0,J22=0),IF(-(D27+E27+H27+I27)&gt;F29,-F29,(D27+E27+H27+I27)),0)</f>
        <v>0</v>
      </c>
      <c r="G30" s="633"/>
      <c r="H30" s="195">
        <v>0</v>
      </c>
      <c r="I30" s="195">
        <v>0</v>
      </c>
      <c r="J30" s="196">
        <f t="shared" si="3"/>
        <v>0</v>
      </c>
      <c r="K30" s="178"/>
      <c r="L30" s="178"/>
      <c r="M30" s="199"/>
      <c r="N30" s="199"/>
      <c r="O30" s="199"/>
      <c r="P30" s="630" t="s">
        <v>118</v>
      </c>
      <c r="Q30" s="631"/>
      <c r="R30" s="631"/>
      <c r="S30" s="631"/>
      <c r="T30" s="631"/>
      <c r="U30" s="631"/>
      <c r="V30" s="631"/>
      <c r="W30" s="632"/>
      <c r="X30" s="199"/>
      <c r="Y30" s="199"/>
      <c r="Z30" s="199"/>
      <c r="AA30" s="199"/>
      <c r="AB30" s="199"/>
    </row>
    <row r="31" spans="1:28" ht="17.25" customHeight="1" thickBot="1" x14ac:dyDescent="0.3">
      <c r="A31" s="199"/>
      <c r="B31" s="148" t="s">
        <v>44</v>
      </c>
      <c r="C31" s="635"/>
      <c r="D31" s="197">
        <f>D29+D30</f>
        <v>0</v>
      </c>
      <c r="E31" s="197">
        <f>E29+E30</f>
        <v>0</v>
      </c>
      <c r="F31" s="462">
        <f>F29+F30</f>
        <v>0</v>
      </c>
      <c r="G31" s="633"/>
      <c r="H31" s="197">
        <f>H29+H30</f>
        <v>0</v>
      </c>
      <c r="I31" s="197">
        <f>I29+I30</f>
        <v>0</v>
      </c>
      <c r="J31" s="198">
        <f t="shared" si="3"/>
        <v>0</v>
      </c>
      <c r="K31" s="178"/>
      <c r="L31" s="178"/>
      <c r="M31" s="199"/>
      <c r="N31" s="199"/>
      <c r="O31" s="199"/>
      <c r="P31" s="142" t="s">
        <v>75</v>
      </c>
      <c r="Q31" s="608"/>
      <c r="R31" s="143">
        <f t="shared" ref="R31:S33" si="4">R25/D$4*IF($W$4=1,0.9,1)</f>
        <v>33.333333333333336</v>
      </c>
      <c r="S31" s="143">
        <f t="shared" si="4"/>
        <v>6.5</v>
      </c>
      <c r="T31" s="608"/>
      <c r="U31" s="608"/>
      <c r="V31" s="143">
        <f t="shared" ref="V31:W33" si="5">V25/H$4*IF($W$4=1,0.9,1)</f>
        <v>11.111111111111111</v>
      </c>
      <c r="W31" s="144">
        <f t="shared" si="5"/>
        <v>5.4</v>
      </c>
      <c r="X31" s="199"/>
      <c r="Y31" s="199"/>
      <c r="Z31" s="199"/>
      <c r="AA31" s="199"/>
      <c r="AB31" s="199"/>
    </row>
    <row r="32" spans="1:28" ht="17.25" customHeight="1" x14ac:dyDescent="0.2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69" t="s">
        <v>76</v>
      </c>
      <c r="Q32" s="609"/>
      <c r="R32" s="140">
        <f t="shared" si="4"/>
        <v>29.166666666666668</v>
      </c>
      <c r="S32" s="140">
        <f t="shared" si="4"/>
        <v>1.5</v>
      </c>
      <c r="T32" s="609"/>
      <c r="U32" s="609"/>
      <c r="V32" s="140">
        <f t="shared" si="5"/>
        <v>7.2222222222222223</v>
      </c>
      <c r="W32" s="170">
        <f t="shared" si="5"/>
        <v>2.8</v>
      </c>
      <c r="X32" s="199"/>
      <c r="Y32" s="199"/>
      <c r="Z32" s="199"/>
      <c r="AA32" s="199"/>
      <c r="AB32" s="199"/>
    </row>
    <row r="33" spans="1:28" ht="17.25" customHeight="1" thickBot="1" x14ac:dyDescent="0.3">
      <c r="A33" s="199"/>
      <c r="B33" s="199"/>
      <c r="C33" s="178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69" t="s">
        <v>77</v>
      </c>
      <c r="Q33" s="609"/>
      <c r="R33" s="140">
        <f>R27/D$4*IF($W$4=1,0.9,1)</f>
        <v>7.5</v>
      </c>
      <c r="S33" s="140">
        <f t="shared" si="4"/>
        <v>4</v>
      </c>
      <c r="T33" s="609"/>
      <c r="U33" s="609"/>
      <c r="V33" s="140">
        <f t="shared" si="5"/>
        <v>5</v>
      </c>
      <c r="W33" s="170">
        <f t="shared" si="5"/>
        <v>3.8</v>
      </c>
      <c r="X33" s="199"/>
      <c r="Y33" s="199"/>
      <c r="Z33" s="199"/>
      <c r="AA33" s="199"/>
      <c r="AB33" s="199"/>
    </row>
    <row r="34" spans="1:28" ht="17.25" customHeight="1" thickBot="1" x14ac:dyDescent="0.3">
      <c r="A34" s="199"/>
      <c r="B34" s="199"/>
      <c r="C34" s="199"/>
      <c r="D34" s="201"/>
      <c r="E34" s="405" t="s">
        <v>75</v>
      </c>
      <c r="F34" s="181" t="s">
        <v>76</v>
      </c>
      <c r="G34" s="182" t="s">
        <v>77</v>
      </c>
      <c r="H34" s="199"/>
      <c r="I34" s="199"/>
      <c r="J34" s="199"/>
      <c r="K34" s="199"/>
      <c r="L34" s="199"/>
      <c r="M34" s="199"/>
      <c r="N34" s="199"/>
      <c r="O34" s="199"/>
      <c r="P34" s="169" t="s">
        <v>47</v>
      </c>
      <c r="Q34" s="609"/>
      <c r="R34" s="140">
        <f>R31+R32+R33</f>
        <v>70</v>
      </c>
      <c r="S34" s="140">
        <f>S31+S32+S33</f>
        <v>12</v>
      </c>
      <c r="T34" s="609"/>
      <c r="U34" s="609"/>
      <c r="V34" s="140">
        <f>V31+V32+V33</f>
        <v>23.333333333333332</v>
      </c>
      <c r="W34" s="170">
        <f>W31+W32+W33</f>
        <v>12</v>
      </c>
      <c r="X34" s="199"/>
      <c r="Y34" s="199"/>
      <c r="Z34" s="199"/>
      <c r="AA34" s="199"/>
      <c r="AB34" s="199"/>
    </row>
    <row r="35" spans="1:28" ht="17.25" customHeight="1" x14ac:dyDescent="0.25">
      <c r="A35" s="199"/>
      <c r="C35" s="621" t="s">
        <v>79</v>
      </c>
      <c r="D35" s="403" t="s">
        <v>33</v>
      </c>
      <c r="E35" s="407">
        <f>((C7*Q25)+(D7*R25)+(E7*S25)+(F7*T25)+(G7*U25)+(H7*V25)+(I7*W25))*IF($W$4=1,0.9,1)</f>
        <v>0</v>
      </c>
      <c r="F35" s="299">
        <f>((C7*Q26)+(D7*R26)+(E7*S26)+(F7*T26)+(G7*U26)+(H7*V26)+(I7*W26))*IF($W$4=1,0.9,1)</f>
        <v>0</v>
      </c>
      <c r="G35" s="186">
        <f>((C7*Q27)+(D7*R27)+(E7*S27)+(F7*T27)+(G7*U27)+(H7*V27)+(I7*W27))*IF($W$4=1,0.9,1)</f>
        <v>0</v>
      </c>
      <c r="H35" s="199"/>
      <c r="I35" s="199"/>
      <c r="J35" s="199"/>
      <c r="K35" s="199"/>
      <c r="L35" s="199"/>
      <c r="M35" s="199"/>
      <c r="N35" s="199"/>
      <c r="O35" s="199"/>
      <c r="P35" s="169" t="s">
        <v>120</v>
      </c>
      <c r="Q35" s="609"/>
      <c r="R35" s="140">
        <v>4</v>
      </c>
      <c r="S35" s="140">
        <v>1</v>
      </c>
      <c r="T35" s="609"/>
      <c r="U35" s="609"/>
      <c r="V35" s="140">
        <v>3</v>
      </c>
      <c r="W35" s="170">
        <v>1</v>
      </c>
      <c r="X35" s="199"/>
      <c r="Y35" s="199"/>
      <c r="Z35" s="199"/>
      <c r="AA35" s="199"/>
      <c r="AB35" s="199"/>
    </row>
    <row r="36" spans="1:28" ht="17.25" customHeight="1" thickBot="1" x14ac:dyDescent="0.3">
      <c r="A36" s="199"/>
      <c r="B36" s="201"/>
      <c r="C36" s="622"/>
      <c r="D36" s="411" t="s">
        <v>175</v>
      </c>
      <c r="E36" s="412">
        <f>IF('Caracteristiques Batiments'!H8&gt;0,E35/'Caracteristiques Batiments'!H8,0)</f>
        <v>0</v>
      </c>
      <c r="F36" s="412">
        <f>IF('Caracteristiques Batiments'!I8&gt;0,F35/'Caracteristiques Batiments'!I8,0)</f>
        <v>0</v>
      </c>
      <c r="G36" s="412">
        <f>IF('Caracteristiques Batiments'!J8&gt;0,G35/'Caracteristiques Batiments'!J8,0)</f>
        <v>0</v>
      </c>
      <c r="H36" s="199"/>
      <c r="I36" s="199"/>
      <c r="J36" s="199"/>
      <c r="K36" s="199"/>
      <c r="L36" s="199"/>
      <c r="M36" s="199"/>
      <c r="N36" s="199"/>
      <c r="O36" s="199"/>
      <c r="P36" s="187" t="s">
        <v>128</v>
      </c>
      <c r="Q36" s="610"/>
      <c r="R36" s="188">
        <f>D4/R28</f>
        <v>3</v>
      </c>
      <c r="S36" s="188">
        <f>E4/S28</f>
        <v>20</v>
      </c>
      <c r="T36" s="610"/>
      <c r="U36" s="610"/>
      <c r="V36" s="188">
        <f>H4/V28</f>
        <v>11.25</v>
      </c>
      <c r="W36" s="189">
        <f t="shared" ref="W36" si="6">I4/W28</f>
        <v>20</v>
      </c>
      <c r="X36" s="199"/>
      <c r="Y36" s="199"/>
      <c r="Z36" s="199"/>
      <c r="AA36" s="199"/>
      <c r="AB36" s="199"/>
    </row>
    <row r="37" spans="1:28" ht="17.25" customHeight="1" thickBot="1" x14ac:dyDescent="0.3">
      <c r="A37" s="199"/>
      <c r="B37" s="266"/>
      <c r="C37" s="622"/>
      <c r="D37" s="410" t="s">
        <v>176</v>
      </c>
      <c r="E37" s="408">
        <f>-((C8*Q25)+(D8*R25)+(E8*S25)+(F8*T25)+(G8*U25)+(H8*V25)+(I8*W25))*IF($W$4=1,0.9,1)</f>
        <v>0</v>
      </c>
      <c r="F37" s="406">
        <f>-((C8*Q26)+(D8*R26)+(E8*S26)+(F8*T26)+(G8*U26)+(H8*V26)+(I8*W26))*IF($W$4=1,0.9,1)</f>
        <v>0</v>
      </c>
      <c r="G37" s="200">
        <f>-((C8*Q27)+(D8*R27)+(E8*S27)+(F8*T27)+(G8*U27)+(H8*V27)+(I8*W27))*IF($W$4=1,0.9,1)</f>
        <v>0</v>
      </c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</row>
    <row r="38" spans="1:28" ht="17.25" customHeight="1" thickBot="1" x14ac:dyDescent="0.3">
      <c r="A38" s="199"/>
      <c r="B38" s="199"/>
      <c r="C38" s="622"/>
      <c r="D38" s="415" t="s">
        <v>172</v>
      </c>
      <c r="E38" s="416">
        <f>IF('Caracteristiques Batiments'!H8&gt;0,E37/'Caracteristiques Batiments'!H8,0)</f>
        <v>0</v>
      </c>
      <c r="F38" s="416">
        <f>IF('Caracteristiques Batiments'!I8&gt;0,F37/'Caracteristiques Batiments'!I8,0)</f>
        <v>0</v>
      </c>
      <c r="G38" s="416">
        <f>IF('Caracteristiques Batiments'!J8&gt;0,G37/'Caracteristiques Batiments'!J8,0)</f>
        <v>0</v>
      </c>
      <c r="H38" s="199"/>
      <c r="I38" s="199"/>
      <c r="J38" s="199"/>
      <c r="K38" s="199"/>
      <c r="L38" s="199"/>
      <c r="M38" s="199"/>
      <c r="N38" s="199"/>
      <c r="O38" s="199"/>
      <c r="P38" s="612" t="s">
        <v>119</v>
      </c>
      <c r="Q38" s="613"/>
      <c r="R38" s="613"/>
      <c r="S38" s="613"/>
      <c r="T38" s="613"/>
      <c r="U38" s="613"/>
      <c r="V38" s="613"/>
      <c r="W38" s="614"/>
      <c r="X38" s="199"/>
      <c r="Y38" s="199"/>
      <c r="Z38" s="199"/>
      <c r="AA38" s="199"/>
      <c r="AB38" s="199"/>
    </row>
    <row r="39" spans="1:28" ht="17.25" customHeight="1" x14ac:dyDescent="0.25">
      <c r="A39" s="199"/>
      <c r="B39" s="199"/>
      <c r="C39" s="623"/>
      <c r="D39" s="190" t="s">
        <v>35</v>
      </c>
      <c r="E39" s="407">
        <f>((C11*Q25)+(D11*R25)+(E11*S25)+(F11*T25)+(G11*U25)+(H11*V25)+(I11*W25))*IF($W$5=1,0.9,1)</f>
        <v>0</v>
      </c>
      <c r="F39" s="299">
        <f>((C11*Q26)+(D11*R26)+(E11*S26)+(F11*T26)+(G11*U26)+(H11*V26)+(I11*W26))*IF($W$5=1,0.9,1)</f>
        <v>0</v>
      </c>
      <c r="G39" s="186">
        <f>((C11*Q27)+(D11*R27)+(E11*S27)+(F11*T27)+(G11*U27)+(H11*V27)+(I11*W27))*IF($W$5=1,0.9,1)</f>
        <v>0</v>
      </c>
      <c r="H39" s="199"/>
      <c r="I39" s="199"/>
      <c r="J39" s="199"/>
      <c r="K39" s="199"/>
      <c r="L39" s="199"/>
      <c r="M39" s="199"/>
      <c r="N39" s="199"/>
      <c r="O39" s="199"/>
      <c r="P39" s="142" t="s">
        <v>75</v>
      </c>
      <c r="Q39" s="608"/>
      <c r="R39" s="143">
        <f t="shared" ref="R39:S41" si="7">R25/D$5*IF($W$5=1,0.9,1)</f>
        <v>5</v>
      </c>
      <c r="S39" s="143">
        <f t="shared" si="7"/>
        <v>21.666666666666668</v>
      </c>
      <c r="T39" s="608"/>
      <c r="U39" s="608"/>
      <c r="V39" s="143">
        <f t="shared" ref="V39:W41" si="8">V25/H$5*IF($W$5=1,0.9,1)</f>
        <v>7.6923076923076925</v>
      </c>
      <c r="W39" s="144">
        <f t="shared" si="8"/>
        <v>7.5524475524475525</v>
      </c>
      <c r="X39" s="199"/>
      <c r="Y39" s="199"/>
      <c r="Z39" s="199"/>
      <c r="AA39" s="199"/>
      <c r="AB39" s="199"/>
    </row>
    <row r="40" spans="1:28" ht="17.25" customHeight="1" thickBot="1" x14ac:dyDescent="0.3">
      <c r="A40" s="199"/>
      <c r="B40" s="199"/>
      <c r="C40" s="624"/>
      <c r="D40" s="192" t="s">
        <v>176</v>
      </c>
      <c r="E40" s="409">
        <f>-((C12*Q25)+(D12*R25)+(E12*S25)+(F12*T25)+(G12*U25)+(H12*V25)+(I12*W25))*IF($W$5=1,0.9,1)</f>
        <v>0</v>
      </c>
      <c r="F40" s="188">
        <f>-((C12*Q26)+(D12*R26)+(E12*S26)+(F12*T26)+(G12*U26)+(H12*V26)+(I12*W26))*IF($W$5=1,0.9,1)</f>
        <v>0</v>
      </c>
      <c r="G40" s="189">
        <f>-((C12*Q27)+(D12*R27)+(E12*S27)+(F12*T27)+(G12*U27)+(H12*V27)+(I12*W27))*IF($W$5=1,0.9,1)</f>
        <v>0</v>
      </c>
      <c r="H40" s="199"/>
      <c r="I40" s="199"/>
      <c r="J40" s="199"/>
      <c r="K40" s="199"/>
      <c r="L40" s="199"/>
      <c r="M40" s="199"/>
      <c r="N40" s="199"/>
      <c r="O40" s="199"/>
      <c r="P40" s="169" t="s">
        <v>76</v>
      </c>
      <c r="Q40" s="609"/>
      <c r="R40" s="140">
        <f t="shared" si="7"/>
        <v>4.375</v>
      </c>
      <c r="S40" s="140">
        <f t="shared" si="7"/>
        <v>5</v>
      </c>
      <c r="T40" s="609"/>
      <c r="U40" s="609"/>
      <c r="V40" s="140">
        <f t="shared" si="8"/>
        <v>5</v>
      </c>
      <c r="W40" s="170">
        <f t="shared" si="8"/>
        <v>3.9160839160839163</v>
      </c>
      <c r="X40" s="199"/>
      <c r="Y40" s="199"/>
      <c r="Z40" s="199"/>
      <c r="AA40" s="199"/>
      <c r="AB40" s="199"/>
    </row>
    <row r="41" spans="1:28" ht="17.25" customHeight="1" thickBot="1" x14ac:dyDescent="0.3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69" t="s">
        <v>77</v>
      </c>
      <c r="Q41" s="609"/>
      <c r="R41" s="140">
        <f t="shared" si="7"/>
        <v>1.125</v>
      </c>
      <c r="S41" s="140">
        <f t="shared" si="7"/>
        <v>13.333333333333334</v>
      </c>
      <c r="T41" s="609"/>
      <c r="U41" s="609"/>
      <c r="V41" s="140">
        <f t="shared" si="8"/>
        <v>3.4615384615384617</v>
      </c>
      <c r="W41" s="170">
        <f t="shared" si="8"/>
        <v>5.314685314685315</v>
      </c>
      <c r="X41" s="199"/>
      <c r="Y41" s="199"/>
      <c r="Z41" s="199"/>
      <c r="AA41" s="199"/>
      <c r="AB41" s="199"/>
    </row>
    <row r="42" spans="1:28" ht="17.25" customHeight="1" thickBot="1" x14ac:dyDescent="0.3">
      <c r="A42" s="199"/>
      <c r="B42" s="621" t="s">
        <v>179</v>
      </c>
      <c r="C42" s="420"/>
      <c r="D42" s="179" t="s">
        <v>177</v>
      </c>
      <c r="E42" s="202" t="s">
        <v>151</v>
      </c>
      <c r="F42" s="202" t="s">
        <v>152</v>
      </c>
      <c r="G42" s="203" t="s">
        <v>178</v>
      </c>
      <c r="H42" s="199"/>
      <c r="I42" s="199"/>
      <c r="J42" s="199"/>
      <c r="K42" s="199"/>
      <c r="L42" s="199"/>
      <c r="M42" s="199"/>
      <c r="N42" s="199"/>
      <c r="O42" s="199"/>
      <c r="P42" s="169" t="s">
        <v>47</v>
      </c>
      <c r="Q42" s="609"/>
      <c r="R42" s="140">
        <f>R39+R40+R41</f>
        <v>10.5</v>
      </c>
      <c r="S42" s="140">
        <f>S39+S40+S41</f>
        <v>40</v>
      </c>
      <c r="T42" s="609"/>
      <c r="U42" s="609"/>
      <c r="V42" s="140">
        <f>V39+V40+V41</f>
        <v>16.153846153846153</v>
      </c>
      <c r="W42" s="170">
        <f>W39+W40+W41</f>
        <v>16.783216783216783</v>
      </c>
      <c r="X42" s="178"/>
      <c r="Y42" s="199"/>
      <c r="Z42" s="199"/>
      <c r="AA42" s="199"/>
      <c r="AB42" s="199"/>
    </row>
    <row r="43" spans="1:28" ht="17.25" customHeight="1" x14ac:dyDescent="0.25">
      <c r="A43" s="199"/>
      <c r="B43" s="622"/>
      <c r="C43" s="403">
        <f>E38</f>
        <v>0</v>
      </c>
      <c r="D43" s="419">
        <f>TRUNC(C43/24,0)</f>
        <v>0</v>
      </c>
      <c r="E43" s="417">
        <f>TRUNC(C43-D43*24,0)</f>
        <v>0</v>
      </c>
      <c r="F43" s="417">
        <f>TRUNC((C43-(D43*24+E43))*60,0)</f>
        <v>0</v>
      </c>
      <c r="G43" s="418">
        <f>TRUNC(((C43-(D43*24+E43))*60-F43)*60,0)</f>
        <v>0</v>
      </c>
      <c r="H43" s="199"/>
      <c r="I43" s="199"/>
      <c r="J43" s="199"/>
      <c r="K43" s="199"/>
      <c r="L43" s="199"/>
      <c r="M43" s="199"/>
      <c r="N43" s="199"/>
      <c r="O43" s="199"/>
      <c r="P43" s="169" t="s">
        <v>120</v>
      </c>
      <c r="Q43" s="609"/>
      <c r="R43" s="140">
        <v>1</v>
      </c>
      <c r="S43" s="140">
        <v>4</v>
      </c>
      <c r="T43" s="609"/>
      <c r="U43" s="609"/>
      <c r="V43" s="140">
        <v>2</v>
      </c>
      <c r="W43" s="170">
        <v>3</v>
      </c>
      <c r="X43" s="199"/>
      <c r="Y43" s="199"/>
      <c r="Z43" s="199"/>
      <c r="AA43" s="199"/>
      <c r="AB43" s="199"/>
    </row>
    <row r="44" spans="1:28" ht="17.25" customHeight="1" thickBot="1" x14ac:dyDescent="0.3">
      <c r="A44" s="199"/>
      <c r="B44" s="622"/>
      <c r="C44" s="410">
        <f>F38</f>
        <v>0</v>
      </c>
      <c r="D44" s="408">
        <f t="shared" ref="D44:D45" si="9">TRUNC(C44/24,0)</f>
        <v>0</v>
      </c>
      <c r="E44" s="406">
        <f t="shared" ref="E44:E45" si="10">TRUNC(C44-D44*24,0)</f>
        <v>0</v>
      </c>
      <c r="F44" s="406">
        <f t="shared" ref="F44:F45" si="11">TRUNC((C44-(D44*24+E44))*60,0)</f>
        <v>0</v>
      </c>
      <c r="G44" s="200">
        <f t="shared" ref="G44:G45" si="12">TRUNC(((C44-(D44*24+E44))*60-F44)*60,0)</f>
        <v>0</v>
      </c>
      <c r="H44" s="199"/>
      <c r="I44" s="199"/>
      <c r="J44" s="199"/>
      <c r="K44" s="199"/>
      <c r="L44" s="199"/>
      <c r="M44" s="199"/>
      <c r="N44" s="199"/>
      <c r="O44" s="199"/>
      <c r="P44" s="187" t="s">
        <v>128</v>
      </c>
      <c r="Q44" s="610"/>
      <c r="R44" s="188">
        <f>D5/R28</f>
        <v>20</v>
      </c>
      <c r="S44" s="188">
        <f t="shared" ref="S44:W44" si="13">E5/S28</f>
        <v>6</v>
      </c>
      <c r="T44" s="610"/>
      <c r="U44" s="610"/>
      <c r="V44" s="188">
        <f t="shared" si="13"/>
        <v>16.25</v>
      </c>
      <c r="W44" s="189">
        <f t="shared" si="13"/>
        <v>14.3</v>
      </c>
      <c r="X44" s="199"/>
      <c r="Y44" s="199"/>
      <c r="Z44" s="199"/>
      <c r="AA44" s="199"/>
      <c r="AB44" s="199"/>
    </row>
    <row r="45" spans="1:28" ht="17.25" customHeight="1" thickBot="1" x14ac:dyDescent="0.3">
      <c r="A45" s="199"/>
      <c r="B45" s="625"/>
      <c r="C45" s="404">
        <f>G38</f>
        <v>0</v>
      </c>
      <c r="D45" s="409">
        <f t="shared" si="9"/>
        <v>0</v>
      </c>
      <c r="E45" s="188">
        <f t="shared" si="10"/>
        <v>0</v>
      </c>
      <c r="F45" s="188">
        <f t="shared" si="11"/>
        <v>0</v>
      </c>
      <c r="G45" s="189">
        <f t="shared" si="12"/>
        <v>0</v>
      </c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</row>
    <row r="46" spans="1:28" ht="17.25" customHeight="1" x14ac:dyDescent="0.25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</row>
    <row r="47" spans="1:28" ht="17.25" customHeight="1" x14ac:dyDescent="0.25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</row>
    <row r="48" spans="1:28" ht="17.25" customHeight="1" x14ac:dyDescent="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</row>
  </sheetData>
  <sheetProtection sheet="1" objects="1" scenarios="1"/>
  <customSheetViews>
    <customSheetView guid="{754BBDAE-3FE2-41B7-9E16-92FAD5CD995A}" scale="60">
      <selection activeCell="A11" sqref="A11"/>
      <pageMargins left="0.7" right="0.7" top="0.75" bottom="0.75" header="0.3" footer="0.3"/>
      <pageSetup paperSize="9" orientation="portrait" r:id="rId1"/>
    </customSheetView>
  </customSheetViews>
  <mergeCells count="23">
    <mergeCell ref="C35:C40"/>
    <mergeCell ref="B42:B45"/>
    <mergeCell ref="B16:I16"/>
    <mergeCell ref="W3:X3"/>
    <mergeCell ref="P30:W30"/>
    <mergeCell ref="F26:F28"/>
    <mergeCell ref="G29:G31"/>
    <mergeCell ref="C29:C31"/>
    <mergeCell ref="T7:V11"/>
    <mergeCell ref="C17:C22"/>
    <mergeCell ref="F17:G22"/>
    <mergeCell ref="B25:I25"/>
    <mergeCell ref="N7:O10"/>
    <mergeCell ref="C4:C5"/>
    <mergeCell ref="F4:G5"/>
    <mergeCell ref="W4:X4"/>
    <mergeCell ref="T39:U44"/>
    <mergeCell ref="Q39:Q44"/>
    <mergeCell ref="W5:X5"/>
    <mergeCell ref="M15:O23"/>
    <mergeCell ref="P38:W38"/>
    <mergeCell ref="T31:U36"/>
    <mergeCell ref="Q31:Q36"/>
  </mergeCells>
  <conditionalFormatting sqref="O5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N7:O10">
    <cfRule type="containsText" dxfId="2" priority="1" operator="containsText" text="nul">
      <formula>NOT(ISERROR(SEARCH("nul",N7)))</formula>
    </cfRule>
    <cfRule type="containsText" dxfId="1" priority="2" operator="containsText" text="défenseur">
      <formula>NOT(ISERROR(SEARCH("défenseur",N7)))</formula>
    </cfRule>
    <cfRule type="containsText" dxfId="0" priority="3" operator="containsText" text="attaquant">
      <formula>NOT(ISERROR(SEARCH("attaquant",N7)))</formula>
    </cfRule>
  </conditionalFormatting>
  <pageMargins left="0.7" right="0.7" top="0.75" bottom="0.75" header="0.3" footer="0.3"/>
  <pageSetup paperSize="9" orientation="portrait" r:id="rId2"/>
  <ignoredErrors>
    <ignoredError sqref="J12:J13" unlockedFormula="1"/>
    <ignoredError sqref="E37:G37 F12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Y123"/>
  <sheetViews>
    <sheetView zoomScale="60" zoomScaleNormal="60" workbookViewId="0">
      <selection activeCell="J9" sqref="J9"/>
    </sheetView>
  </sheetViews>
  <sheetFormatPr baseColWidth="10" defaultRowHeight="15" x14ac:dyDescent="0.25"/>
  <cols>
    <col min="1" max="1" width="11.42578125" style="314"/>
    <col min="2" max="2" width="4.7109375" style="314" customWidth="1"/>
    <col min="3" max="3" width="11.42578125" style="314"/>
    <col min="4" max="4" width="12.28515625" style="314" customWidth="1"/>
    <col min="5" max="5" width="12.28515625" style="314" bestFit="1" customWidth="1"/>
    <col min="6" max="6" width="12.42578125" style="314" customWidth="1"/>
    <col min="7" max="7" width="12.140625" style="314" customWidth="1"/>
    <col min="8" max="8" width="12.85546875" style="314" customWidth="1"/>
    <col min="9" max="9" width="11.42578125" style="314"/>
    <col min="10" max="10" width="12.28515625" style="314" bestFit="1" customWidth="1"/>
    <col min="11" max="11" width="12.42578125" style="314" customWidth="1"/>
    <col min="12" max="12" width="11.42578125" style="314"/>
    <col min="13" max="13" width="12.28515625" style="314" customWidth="1"/>
    <col min="14" max="15" width="12.28515625" style="314" bestFit="1" customWidth="1"/>
    <col min="16" max="16" width="11.42578125" style="314"/>
    <col min="17" max="17" width="12.28515625" style="314" customWidth="1"/>
    <col min="18" max="18" width="11.42578125" style="314"/>
    <col min="19" max="19" width="12.42578125" style="314" customWidth="1"/>
    <col min="20" max="20" width="11.42578125" style="314"/>
    <col min="21" max="21" width="12.140625" style="314" customWidth="1"/>
    <col min="22" max="22" width="11.42578125" style="314"/>
    <col min="23" max="23" width="12.140625" style="314" customWidth="1"/>
    <col min="24" max="24" width="11.42578125" style="314"/>
    <col min="25" max="25" width="12.42578125" style="314" customWidth="1"/>
    <col min="26" max="16384" width="11.42578125" style="314"/>
  </cols>
  <sheetData>
    <row r="1" spans="3:26" ht="15.75" thickBot="1" x14ac:dyDescent="0.3"/>
    <row r="2" spans="3:26" ht="15.75" thickBot="1" x14ac:dyDescent="0.3">
      <c r="G2" s="396" t="s">
        <v>174</v>
      </c>
      <c r="H2" s="397">
        <v>0</v>
      </c>
    </row>
    <row r="3" spans="3:26" ht="15" customHeight="1" thickBot="1" x14ac:dyDescent="0.3">
      <c r="C3" s="315"/>
      <c r="D3" s="342" t="s">
        <v>138</v>
      </c>
      <c r="E3" s="343" t="s">
        <v>140</v>
      </c>
      <c r="F3" s="343" t="s">
        <v>141</v>
      </c>
      <c r="G3" s="354" t="s">
        <v>143</v>
      </c>
      <c r="H3" s="354" t="s">
        <v>148</v>
      </c>
      <c r="I3" s="343" t="s">
        <v>149</v>
      </c>
      <c r="J3" s="343" t="s">
        <v>150</v>
      </c>
      <c r="K3" s="343" t="s">
        <v>162</v>
      </c>
      <c r="L3" s="343" t="s">
        <v>163</v>
      </c>
      <c r="M3" s="343" t="s">
        <v>164</v>
      </c>
      <c r="N3" s="343" t="s">
        <v>165</v>
      </c>
      <c r="O3" s="343" t="s">
        <v>166</v>
      </c>
      <c r="P3" s="343" t="s">
        <v>167</v>
      </c>
      <c r="Q3" s="344" t="s">
        <v>168</v>
      </c>
      <c r="R3" s="345" t="s">
        <v>47</v>
      </c>
      <c r="S3" s="677" t="s">
        <v>142</v>
      </c>
      <c r="T3" s="678"/>
    </row>
    <row r="4" spans="3:26" x14ac:dyDescent="0.25">
      <c r="C4" s="337" t="s">
        <v>126</v>
      </c>
      <c r="D4" s="393">
        <v>1</v>
      </c>
      <c r="E4" s="394">
        <v>1</v>
      </c>
      <c r="F4" s="394">
        <v>1</v>
      </c>
      <c r="G4" s="394">
        <v>1</v>
      </c>
      <c r="H4" s="394">
        <v>1</v>
      </c>
      <c r="I4" s="394">
        <v>1</v>
      </c>
      <c r="J4" s="394">
        <v>1</v>
      </c>
      <c r="K4" s="394">
        <v>1</v>
      </c>
      <c r="L4" s="394">
        <v>1</v>
      </c>
      <c r="M4" s="394">
        <v>1</v>
      </c>
      <c r="N4" s="394">
        <v>1</v>
      </c>
      <c r="O4" s="394">
        <v>1</v>
      </c>
      <c r="P4" s="394">
        <v>1</v>
      </c>
      <c r="Q4" s="395">
        <v>2</v>
      </c>
      <c r="R4" s="398"/>
      <c r="S4" s="318" t="s">
        <v>141</v>
      </c>
      <c r="T4" s="317" t="s">
        <v>171</v>
      </c>
    </row>
    <row r="5" spans="3:26" ht="15.75" thickBot="1" x14ac:dyDescent="0.3">
      <c r="C5" s="338" t="s">
        <v>128</v>
      </c>
      <c r="D5" s="340">
        <f>IF($D$4&gt;0,IF($D$4&lt;26,SUM(D13:CHOOSE($D$4,D13,D14,D15,D16,D17,D18,D19,D20,D21,D22,D23,D24,D25,D26,D27,D28,D29,D30,D31,D32,D33,D34,D35,D36,D37)),0),0)</f>
        <v>1</v>
      </c>
      <c r="E5" s="316">
        <f>IF($E$4&gt;0,IF($E$4&lt;11,SUM(F13:CHOOSE($E$4,F13,F14,F15,F16,F17,F18,F19,F20,F21,F22)),0),0)</f>
        <v>3</v>
      </c>
      <c r="F5" s="316">
        <v>0</v>
      </c>
      <c r="G5" s="316">
        <v>0</v>
      </c>
      <c r="H5" s="316">
        <f>IF($H$4&gt;0,IF($H$4&lt;41,SUM(K13:CHOOSE($H$4,K13,K14,K15,K16,K17,K18,K19,K20,K21,K22,K23,K24,K25,K26,K27,K28,K29,K30,K31,K32,K33,K34,K35,K36,K37,K38,K39,K40,K41,K42,K43,K44,K45,K46,K47,K48,K49,K50,K51,K52)),0),0)</f>
        <v>1</v>
      </c>
      <c r="I5" s="316">
        <f>IF($I$4&gt;0,IF($I$4&lt;41,SUM(K13:CHOOSE($I$4,K13,K14,K15,K16,K17,K18,K19,K20,K21,K22,K23,K24,K25,K26,K27,K28,K29,K30,K31,K32,K33,K34,K35,K36,K37,K38,K39,K40,K41,K42,K43,K44,K45,K46,K47,K48,K49,K50,K51,K52)),0),0)</f>
        <v>1</v>
      </c>
      <c r="J5" s="316">
        <f>IF($J$4&gt;0,IF($J$4&lt;41,SUM(K13:CHOOSE($J$4,K13,K14,K15,K16,K17,K18,K19,K20,K21,K22,K23,K24,K25,K26,K27,K28,K29,K30,K31,K32,K33,K34,K35,K36,K37,K38,K39,K40,K41,K42,K43,K44,K45,K46,K47,K48,K49,K50,K51,K52)),0),0)</f>
        <v>1</v>
      </c>
      <c r="K5" s="316">
        <f>IF($K$4&gt;0,IF($K$4&lt;31,SUM(M13:CHOOSE($K$4,M13,M14,M15,M16,M17,M18,M19,M20,M21,M22,M23,M24,M25,M26,M27,M28,M29,M30,M31,M32,M33,M34,M35,M36,M37,M38,M39,M40,M41,M42)),0),0)</f>
        <v>2</v>
      </c>
      <c r="L5" s="316">
        <f>IF($L$4&gt;0,IF($L$4&lt;31,SUM(O13:CHOOSE($L$4,O13,O14,O15,O16,O17,O18,O19,O20,O21,O22,O23,O24,O25,O26,O27,O28,O29,O30,O31,O32,O33,O34,O35,O36,O37,O38,O39,O40,O41,O42)),0),0)</f>
        <v>4</v>
      </c>
      <c r="M5" s="316">
        <f>IF($M$4&gt;0,IF($M$4&lt;31,SUM(Q13:CHOOSE($M$4,Q13,Q14,Q15,Q16,Q17,Q18,Q19,Q20,Q21,Q22,Q23,Q24,Q25,Q26,Q27,Q28,Q29,Q30,Q31,Q32,Q33,Q34,Q35,Q36,Q37,Q38,Q39,Q40,Q41,Q42)),0),0)</f>
        <v>1</v>
      </c>
      <c r="N5" s="316">
        <f>IF($N$4&gt;0,IF($N$4&lt;26,SUM(S13:CHOOSE($N$4,S13,S14,S15,S16,S17,S18,S19,S20,S21,S22,S23,S24,S25,S26,S27,S28,S29,S30,S31,S32,S33,S34,S35,S36,S37)),0),0)</f>
        <v>2</v>
      </c>
      <c r="O5" s="316">
        <f>IF($O$4&gt;0,IF($O$4&lt;31,SUM(U13:CHOOSE($O$4,U13,U14,U15,U16,U17,U18,U19,U20,U21,U22,U23,U24,U25,U26,U27,U28,U29,U30,U31,U32,U33,U34,U35,U36,U37,U38,U39,U40,U41,U42)),0),0)</f>
        <v>3</v>
      </c>
      <c r="P5" s="316">
        <f>IF($P$4&gt;0,IF($P$4&lt;26,SUM(W13:CHOOSE($P$4,W13,W14,W15,W16,W17,W18,W19,W20,W21,W22,W23,W24,W25,W26,W27,W28,W29,W30,W31,W32,W33,W34,W35,W36,W37)),0),0)</f>
        <v>5</v>
      </c>
      <c r="Q5" s="335">
        <f>IF($Q$4&gt;0,IF($Q$4&lt;3,CHOOSE($Q$4,Y13,Y14),0),0)</f>
        <v>120</v>
      </c>
      <c r="R5" s="369">
        <f>SUM(D5:Q5)</f>
        <v>144</v>
      </c>
      <c r="S5" s="320">
        <f>IF($F$4&gt;0,IF($F$4&lt;41,CHOOSE($F$4,H13,H14,H15,H16,H17,H18,H19,H20,H21,H22,H23,H24,H25,H26,H27,H28,H29,H30,H31,H32,H33,H34,H35,H36,H37,H38,H39,H40,H41,H42,H43,H44,H45,H46,H47,H48,H49,H50,H51,H52),0),0)</f>
        <v>10</v>
      </c>
      <c r="T5" s="322">
        <f>S5-R5</f>
        <v>-134</v>
      </c>
      <c r="V5" s="319"/>
    </row>
    <row r="6" spans="3:26" ht="15.75" thickBot="1" x14ac:dyDescent="0.3">
      <c r="C6" s="339" t="s">
        <v>139</v>
      </c>
      <c r="D6" s="341">
        <f>IF($D$4&gt;0,IF($D$4&lt;26,CHOOSE($D$4,E13,E14,E15,E16,E17,E18,E19,E20,E21,E22,E23,E24,E25,E26,E27,E28,E29,E30,E31,E32,E33,E34,E35,E36,E37),0),0)</f>
        <v>110</v>
      </c>
      <c r="E6" s="321">
        <f>IF($E$4&gt;0,IF($E$4&lt;11,CHOOSE($E$4,G13,G14,G15,G16,G17,G18,G19,G20,G21,G22),0),0)</f>
        <v>60</v>
      </c>
      <c r="F6" s="321">
        <f>IF($F$4&gt;0,IF($F$4&lt;41,CHOOSE($F$4,I13,I14,I15,I16,I17,I18,I19,I20,I21,I22,I23,I24,I25,I26,I27,I28,I29,I30,I31,I32,I33,I34,I35,I36,I37,I38,I39,I40,I41,I42,I43,I44,I45,I46,I47,I48,I49,I50,I51,I52),0),0)</f>
        <v>17</v>
      </c>
      <c r="G6" s="351">
        <f>IF($G$4&gt;0,IF($G$4&lt;31,CHOOSE($G$4,J13,J14,J15,J16,J17,J18,J19,J20,J21,J22,J23,J24,J25,J26,J27,J28,J29,J30,J31,J32,J33,J34,J35,J36,J37,J38,J39,J40,J41,J42),0),0)</f>
        <v>15</v>
      </c>
      <c r="H6" s="351">
        <f>IF($H$4&gt;0,IF($H$4&lt;41,CHOOSE($H$4,L13,L14,L15,L16,L17,L18,L19,L20,L21,L22,L23,L24,L25,L26,L27,L28,L29,L30,L31,L32,L33,L34,L35,L36,L37,L38,L39,L40,L41,L42,L43,L44,L45,L46,L47,L48,L49,L50,L51,L52),0),0)</f>
        <v>22</v>
      </c>
      <c r="I6" s="351">
        <f>IF($I$4&gt;0,IF($I$4&lt;41,CHOOSE($I$4,L13,L14,L15,L16,L17,L18,L19,L20,L21,L22,L23,L24,L25,L26,L27,L28,L29,L30,L31,L32,L33,L34,L35,L36,L37,L38,L39,L40,L41,L42,L43,L44,L45,L46,L47,L48,L49,L50,L51,L52),0),0)</f>
        <v>22</v>
      </c>
      <c r="J6" s="351">
        <f>IF($J$4&gt;0,IF($J$4&lt;41,CHOOSE($J$4,L13,L14,L15,L16,L17,L18,L19,L20,L21,L22,L23,L24,L25,L26,L27,L28,L29,L30,L31,L32,L33,L34,L35,L36,L37,L38,L39,L40,L41,L42,L43,L44,L45,L46,L47,L48,L49,L50,L51,L52),0),0)</f>
        <v>22</v>
      </c>
      <c r="K6" s="321">
        <f>IF($K$4&gt;0,IF($K$4&lt;31,CHOOSE($K$4,N13,N14,N15,N16,N17,N18,N19,N20,N21,N22,N23,N24,N25,N26,N27,N28,N29,N30,N31,N32,N33,N34,N35,N36,N37,N38,N39,N40,N41,N42),0),0)</f>
        <v>108</v>
      </c>
      <c r="L6" s="321">
        <f>IF($L$4&gt;0,IF($L$4&lt;31,CHOOSE($L$4,P13,P14,P15,P16,P17,P18,P19,P20,P21,P22,P23,P24,P25,P26,P27,P28,P29,P30,P31,P32,P33,P34,P35,P36,P37,P38,P39,P40,P41,P42),0),0)</f>
        <v>66</v>
      </c>
      <c r="M6" s="321">
        <f>IF($M$4&gt;0,IF($M$4&lt;31,CHOOSE($M$4,R13,R14,R15,R16,R17,R18,R19,R20,R21,R22,R23,R24,R25,R26,R27,R28,R29,R30,R31,R32,R33,R34,R35,R36,R37,R38,R39,R40,R41,R42),0),0)</f>
        <v>33</v>
      </c>
      <c r="N6" s="321">
        <f>IF($N$4&gt;0,IF($N$4&lt;26,CHOOSE($N$4,T13,T14,T15,T16,T17,T18,T19,T20,T21,T22,T23,T24,T25,T26,T27,T28,T29,T30,T31,T32,T33,T34,T35,T36,T37),0),0)</f>
        <v>34</v>
      </c>
      <c r="O6" s="321">
        <f>IF($O$4&gt;0,IF($O$4&lt;31,CHOOSE($O$4,V13,V14,V15,V16,V17,V18,V19,V20,V21,V22,V23,V24,V25,V26,V27,V28,V29,V30,V31,V32,V33,V34,V35,V36,V37,V38,V39,V40,V41,V42),0),0)</f>
        <v>67</v>
      </c>
      <c r="P6" s="321">
        <f>IF($P$4&gt;0,IF($P$4&lt;26,CHOOSE($P$4,X13,X14,X15,X16,X17,X18,X19,X20,X21,X22,X23,X24,X25,X26,X27,X28,X29,X30,X31,X32,X33,X34,X35,X36,X37),0),0)</f>
        <v>216</v>
      </c>
      <c r="Q6" s="336">
        <f>IF($Q$4&gt;0,IF($Q$4&lt;3,CHOOSE($Q$4,Z13,Z14),0),0)</f>
        <v>1000</v>
      </c>
      <c r="R6" s="339">
        <f>SUM(D6:Q6)</f>
        <v>1792</v>
      </c>
      <c r="V6" s="323"/>
    </row>
    <row r="7" spans="3:26" x14ac:dyDescent="0.25">
      <c r="G7" s="337" t="s">
        <v>169</v>
      </c>
      <c r="H7" s="390">
        <v>0</v>
      </c>
      <c r="I7" s="391">
        <v>0</v>
      </c>
      <c r="J7" s="392">
        <v>0</v>
      </c>
      <c r="L7" s="679" t="str">
        <f>"-1 malus, 0 normal, 1 bonus"</f>
        <v>-1 malus, 0 normal, 1 bonus</v>
      </c>
      <c r="M7" s="680"/>
      <c r="V7" s="323"/>
    </row>
    <row r="8" spans="3:26" ht="15.75" thickBot="1" x14ac:dyDescent="0.3">
      <c r="G8" s="339" t="s">
        <v>144</v>
      </c>
      <c r="H8" s="341">
        <f>IF(H7=-1,IF(H2=1,K60,K57),IF(H7=0,IF(H2=1,L60,L57),IF(H7=1,IF(H2=1,M60,M57),"Erreur")))</f>
        <v>16</v>
      </c>
      <c r="I8" s="321">
        <f>IF(I7=-1,IF(H2=1,K66,K63),IF(I7=0,IF(H2=1,L66,L63),IF(I7=1,IF(H2=1,M66,M63),"Erreur")))</f>
        <v>16</v>
      </c>
      <c r="J8" s="322">
        <f>IF(J7=-1,IF(H2=1,K72,K69),IF(J7=0,IF(H2=1,L72,L69),IF(J7=1,IF(H2=1,M72,M69),"Erreur")))</f>
        <v>16</v>
      </c>
      <c r="L8" s="681"/>
      <c r="M8" s="682"/>
      <c r="V8" s="323"/>
    </row>
    <row r="9" spans="3:26" ht="15.75" thickBot="1" x14ac:dyDescent="0.3">
      <c r="V9" s="323"/>
    </row>
    <row r="10" spans="3:26" ht="15.75" thickBot="1" x14ac:dyDescent="0.3">
      <c r="D10" s="687" t="s">
        <v>138</v>
      </c>
      <c r="E10" s="688"/>
      <c r="F10" s="666" t="s">
        <v>140</v>
      </c>
      <c r="G10" s="667"/>
      <c r="H10" s="666" t="s">
        <v>141</v>
      </c>
      <c r="I10" s="668"/>
      <c r="J10" s="345" t="s">
        <v>143</v>
      </c>
      <c r="K10" s="666" t="s">
        <v>161</v>
      </c>
      <c r="L10" s="668"/>
      <c r="M10" s="666" t="s">
        <v>162</v>
      </c>
      <c r="N10" s="668"/>
      <c r="O10" s="666" t="s">
        <v>163</v>
      </c>
      <c r="P10" s="668"/>
      <c r="Q10" s="666" t="s">
        <v>164</v>
      </c>
      <c r="R10" s="668"/>
      <c r="S10" s="666" t="s">
        <v>165</v>
      </c>
      <c r="T10" s="668"/>
      <c r="U10" s="666" t="s">
        <v>166</v>
      </c>
      <c r="V10" s="668"/>
      <c r="W10" s="666" t="s">
        <v>167</v>
      </c>
      <c r="X10" s="668"/>
      <c r="Y10" s="677" t="s">
        <v>168</v>
      </c>
      <c r="Z10" s="678"/>
    </row>
    <row r="11" spans="3:26" ht="15" customHeight="1" thickBot="1" x14ac:dyDescent="0.3">
      <c r="D11" s="673" t="s">
        <v>159</v>
      </c>
      <c r="E11" s="674" t="s">
        <v>160</v>
      </c>
      <c r="F11" s="675" t="s">
        <v>159</v>
      </c>
      <c r="G11" s="669" t="s">
        <v>160</v>
      </c>
      <c r="H11" s="671" t="s">
        <v>142</v>
      </c>
      <c r="I11" s="669" t="s">
        <v>160</v>
      </c>
      <c r="J11" s="685" t="s">
        <v>160</v>
      </c>
      <c r="K11" s="671" t="s">
        <v>159</v>
      </c>
      <c r="L11" s="669" t="s">
        <v>160</v>
      </c>
      <c r="M11" s="671" t="s">
        <v>159</v>
      </c>
      <c r="N11" s="669" t="s">
        <v>160</v>
      </c>
      <c r="O11" s="671" t="s">
        <v>159</v>
      </c>
      <c r="P11" s="669" t="s">
        <v>160</v>
      </c>
      <c r="Q11" s="671" t="s">
        <v>159</v>
      </c>
      <c r="R11" s="669" t="s">
        <v>160</v>
      </c>
      <c r="S11" s="671" t="s">
        <v>159</v>
      </c>
      <c r="T11" s="669" t="s">
        <v>160</v>
      </c>
      <c r="U11" s="671" t="s">
        <v>159</v>
      </c>
      <c r="V11" s="669" t="s">
        <v>160</v>
      </c>
      <c r="W11" s="671" t="s">
        <v>159</v>
      </c>
      <c r="X11" s="669" t="s">
        <v>160</v>
      </c>
      <c r="Y11" s="671" t="s">
        <v>159</v>
      </c>
      <c r="Z11" s="669" t="s">
        <v>160</v>
      </c>
    </row>
    <row r="12" spans="3:26" ht="15" customHeight="1" thickBot="1" x14ac:dyDescent="0.3">
      <c r="C12" s="346" t="s">
        <v>126</v>
      </c>
      <c r="D12" s="672"/>
      <c r="E12" s="670"/>
      <c r="F12" s="676"/>
      <c r="G12" s="670"/>
      <c r="H12" s="672"/>
      <c r="I12" s="670"/>
      <c r="J12" s="686"/>
      <c r="K12" s="672"/>
      <c r="L12" s="670"/>
      <c r="M12" s="672"/>
      <c r="N12" s="670"/>
      <c r="O12" s="672"/>
      <c r="P12" s="670"/>
      <c r="Q12" s="672"/>
      <c r="R12" s="670"/>
      <c r="S12" s="672"/>
      <c r="T12" s="670"/>
      <c r="U12" s="672"/>
      <c r="V12" s="670"/>
      <c r="W12" s="672"/>
      <c r="X12" s="670"/>
      <c r="Y12" s="672"/>
      <c r="Z12" s="670"/>
    </row>
    <row r="13" spans="3:26" x14ac:dyDescent="0.25">
      <c r="C13" s="355">
        <v>1</v>
      </c>
      <c r="D13" s="356">
        <v>1</v>
      </c>
      <c r="E13" s="357">
        <v>110</v>
      </c>
      <c r="F13" s="356">
        <v>3</v>
      </c>
      <c r="G13" s="357">
        <v>60</v>
      </c>
      <c r="H13" s="356">
        <v>10</v>
      </c>
      <c r="I13" s="357">
        <v>17</v>
      </c>
      <c r="J13" s="355">
        <v>15</v>
      </c>
      <c r="K13" s="356">
        <v>1</v>
      </c>
      <c r="L13" s="357">
        <v>22</v>
      </c>
      <c r="M13" s="356">
        <v>2</v>
      </c>
      <c r="N13" s="357">
        <v>108</v>
      </c>
      <c r="O13" s="356">
        <v>4</v>
      </c>
      <c r="P13" s="357">
        <v>66</v>
      </c>
      <c r="Q13" s="356">
        <v>1</v>
      </c>
      <c r="R13" s="357">
        <v>33</v>
      </c>
      <c r="S13" s="356">
        <v>2</v>
      </c>
      <c r="T13" s="357">
        <v>34</v>
      </c>
      <c r="U13" s="356">
        <v>3</v>
      </c>
      <c r="V13" s="357">
        <v>67</v>
      </c>
      <c r="W13" s="356">
        <v>5</v>
      </c>
      <c r="X13" s="357">
        <v>216</v>
      </c>
      <c r="Y13" s="356">
        <v>60</v>
      </c>
      <c r="Z13" s="357">
        <v>500</v>
      </c>
    </row>
    <row r="14" spans="3:26" ht="15.75" thickBot="1" x14ac:dyDescent="0.3">
      <c r="C14" s="324">
        <f>C13+1</f>
        <v>2</v>
      </c>
      <c r="D14" s="325">
        <v>2</v>
      </c>
      <c r="E14" s="326">
        <f>ROUND(E13/10,0)+E13</f>
        <v>121</v>
      </c>
      <c r="F14" s="325">
        <v>4</v>
      </c>
      <c r="G14" s="326">
        <v>72</v>
      </c>
      <c r="H14" s="325">
        <v>29</v>
      </c>
      <c r="I14" s="326">
        <v>19</v>
      </c>
      <c r="J14" s="324">
        <v>17</v>
      </c>
      <c r="K14" s="325">
        <v>1</v>
      </c>
      <c r="L14" s="326">
        <f>ROUND(L13/10,0)+L13</f>
        <v>24</v>
      </c>
      <c r="M14" s="325">
        <v>2</v>
      </c>
      <c r="N14" s="326">
        <v>117</v>
      </c>
      <c r="O14" s="325">
        <v>4</v>
      </c>
      <c r="P14" s="326">
        <v>73</v>
      </c>
      <c r="Q14" s="325">
        <v>1</v>
      </c>
      <c r="R14" s="326">
        <v>37</v>
      </c>
      <c r="S14" s="325">
        <v>2</v>
      </c>
      <c r="T14" s="326">
        <v>38</v>
      </c>
      <c r="U14" s="325">
        <v>3</v>
      </c>
      <c r="V14" s="326">
        <v>75</v>
      </c>
      <c r="W14" s="325">
        <f>W13+5</f>
        <v>10</v>
      </c>
      <c r="X14" s="326">
        <v>233</v>
      </c>
      <c r="Y14" s="327">
        <v>120</v>
      </c>
      <c r="Z14" s="328">
        <v>1000</v>
      </c>
    </row>
    <row r="15" spans="3:26" x14ac:dyDescent="0.25">
      <c r="C15" s="358">
        <f t="shared" ref="C15:C51" si="0">C14+1</f>
        <v>3</v>
      </c>
      <c r="D15" s="359">
        <v>2</v>
      </c>
      <c r="E15" s="360">
        <f t="shared" ref="E15:E37" si="1">ROUND(E14/10,0)+E14</f>
        <v>133</v>
      </c>
      <c r="F15" s="359">
        <v>5</v>
      </c>
      <c r="G15" s="360">
        <v>86</v>
      </c>
      <c r="H15" s="359">
        <v>54</v>
      </c>
      <c r="I15" s="360">
        <v>21</v>
      </c>
      <c r="J15" s="358">
        <v>19</v>
      </c>
      <c r="K15" s="359">
        <v>2</v>
      </c>
      <c r="L15" s="360">
        <f t="shared" ref="L15:L52" si="2">ROUND(L14/10,0)+L14</f>
        <v>26</v>
      </c>
      <c r="M15" s="359">
        <v>3</v>
      </c>
      <c r="N15" s="360">
        <v>126</v>
      </c>
      <c r="O15" s="359">
        <v>4</v>
      </c>
      <c r="P15" s="360">
        <v>80</v>
      </c>
      <c r="Q15" s="359">
        <v>2</v>
      </c>
      <c r="R15" s="360">
        <v>42</v>
      </c>
      <c r="S15" s="359">
        <v>3</v>
      </c>
      <c r="T15" s="360">
        <v>42</v>
      </c>
      <c r="U15" s="359">
        <v>3</v>
      </c>
      <c r="V15" s="360">
        <v>84</v>
      </c>
      <c r="W15" s="359">
        <f t="shared" ref="W15:W37" si="3">W14+5</f>
        <v>15</v>
      </c>
      <c r="X15" s="360">
        <v>252</v>
      </c>
      <c r="Y15" s="361"/>
      <c r="Z15" s="362"/>
    </row>
    <row r="16" spans="3:26" x14ac:dyDescent="0.25">
      <c r="C16" s="324">
        <f t="shared" si="0"/>
        <v>4</v>
      </c>
      <c r="D16" s="325">
        <v>2</v>
      </c>
      <c r="E16" s="326">
        <f t="shared" si="1"/>
        <v>146</v>
      </c>
      <c r="F16" s="325">
        <v>6</v>
      </c>
      <c r="G16" s="326">
        <v>104</v>
      </c>
      <c r="H16" s="325">
        <v>85</v>
      </c>
      <c r="I16" s="326">
        <v>24</v>
      </c>
      <c r="J16" s="324">
        <v>22</v>
      </c>
      <c r="K16" s="325">
        <v>2</v>
      </c>
      <c r="L16" s="326">
        <f t="shared" si="2"/>
        <v>29</v>
      </c>
      <c r="M16" s="325">
        <v>2</v>
      </c>
      <c r="N16" s="326">
        <v>136</v>
      </c>
      <c r="O16" s="325">
        <v>4</v>
      </c>
      <c r="P16" s="326">
        <v>88</v>
      </c>
      <c r="Q16" s="325">
        <v>2</v>
      </c>
      <c r="R16" s="326">
        <v>46</v>
      </c>
      <c r="S16" s="325">
        <v>3</v>
      </c>
      <c r="T16" s="326">
        <v>47</v>
      </c>
      <c r="U16" s="325">
        <v>3</v>
      </c>
      <c r="V16" s="326">
        <v>94</v>
      </c>
      <c r="W16" s="325">
        <f t="shared" si="3"/>
        <v>20</v>
      </c>
      <c r="X16" s="326">
        <v>272</v>
      </c>
      <c r="Y16" s="329"/>
      <c r="Z16" s="349"/>
    </row>
    <row r="17" spans="3:51" x14ac:dyDescent="0.25">
      <c r="C17" s="358">
        <f t="shared" si="0"/>
        <v>5</v>
      </c>
      <c r="D17" s="359">
        <v>3</v>
      </c>
      <c r="E17" s="360">
        <f t="shared" si="1"/>
        <v>161</v>
      </c>
      <c r="F17" s="359">
        <v>7</v>
      </c>
      <c r="G17" s="360">
        <v>124</v>
      </c>
      <c r="H17" s="359">
        <v>120</v>
      </c>
      <c r="I17" s="360">
        <v>26</v>
      </c>
      <c r="J17" s="358">
        <v>25</v>
      </c>
      <c r="K17" s="359">
        <v>1</v>
      </c>
      <c r="L17" s="360">
        <f t="shared" si="2"/>
        <v>32</v>
      </c>
      <c r="M17" s="359">
        <v>3</v>
      </c>
      <c r="N17" s="360">
        <v>147</v>
      </c>
      <c r="O17" s="359">
        <v>4</v>
      </c>
      <c r="P17" s="360">
        <v>97</v>
      </c>
      <c r="Q17" s="359">
        <v>2</v>
      </c>
      <c r="R17" s="360">
        <v>52</v>
      </c>
      <c r="S17" s="359">
        <v>3</v>
      </c>
      <c r="T17" s="360">
        <v>53</v>
      </c>
      <c r="U17" s="359">
        <v>3</v>
      </c>
      <c r="V17" s="360">
        <v>106</v>
      </c>
      <c r="W17" s="359">
        <f t="shared" si="3"/>
        <v>25</v>
      </c>
      <c r="X17" s="360">
        <v>294</v>
      </c>
      <c r="Y17" s="361"/>
      <c r="Z17" s="362"/>
    </row>
    <row r="18" spans="3:51" x14ac:dyDescent="0.25">
      <c r="C18" s="324">
        <f t="shared" si="0"/>
        <v>6</v>
      </c>
      <c r="D18" s="325">
        <v>4</v>
      </c>
      <c r="E18" s="326">
        <f t="shared" si="1"/>
        <v>177</v>
      </c>
      <c r="F18" s="325">
        <v>7</v>
      </c>
      <c r="G18" s="326">
        <v>149</v>
      </c>
      <c r="H18" s="325">
        <v>159</v>
      </c>
      <c r="I18" s="326">
        <v>30</v>
      </c>
      <c r="J18" s="324">
        <v>29</v>
      </c>
      <c r="K18" s="325">
        <v>2</v>
      </c>
      <c r="L18" s="326">
        <f t="shared" si="2"/>
        <v>35</v>
      </c>
      <c r="M18" s="325">
        <v>2</v>
      </c>
      <c r="N18" s="326">
        <v>159</v>
      </c>
      <c r="O18" s="325">
        <v>4</v>
      </c>
      <c r="P18" s="326">
        <v>106</v>
      </c>
      <c r="Q18" s="325">
        <v>2</v>
      </c>
      <c r="R18" s="326">
        <v>58</v>
      </c>
      <c r="S18" s="325">
        <v>3</v>
      </c>
      <c r="T18" s="326">
        <v>59</v>
      </c>
      <c r="U18" s="325">
        <v>3</v>
      </c>
      <c r="V18" s="326">
        <v>118</v>
      </c>
      <c r="W18" s="325">
        <f t="shared" si="3"/>
        <v>30</v>
      </c>
      <c r="X18" s="326">
        <v>317</v>
      </c>
      <c r="Y18" s="329"/>
      <c r="Z18" s="349"/>
    </row>
    <row r="19" spans="3:51" x14ac:dyDescent="0.25">
      <c r="C19" s="358">
        <f t="shared" si="0"/>
        <v>7</v>
      </c>
      <c r="D19" s="359">
        <v>4</v>
      </c>
      <c r="E19" s="360">
        <f t="shared" si="1"/>
        <v>195</v>
      </c>
      <c r="F19" s="359">
        <v>8</v>
      </c>
      <c r="G19" s="360">
        <v>179</v>
      </c>
      <c r="H19" s="359">
        <v>202</v>
      </c>
      <c r="I19" s="360">
        <v>33</v>
      </c>
      <c r="J19" s="358">
        <v>33</v>
      </c>
      <c r="K19" s="359">
        <v>2</v>
      </c>
      <c r="L19" s="360">
        <f t="shared" si="2"/>
        <v>39</v>
      </c>
      <c r="M19" s="359">
        <v>3</v>
      </c>
      <c r="N19" s="360">
        <v>171</v>
      </c>
      <c r="O19" s="359">
        <v>4</v>
      </c>
      <c r="P19" s="360">
        <v>117</v>
      </c>
      <c r="Q19" s="359">
        <v>3</v>
      </c>
      <c r="R19" s="360">
        <v>64</v>
      </c>
      <c r="S19" s="359">
        <v>3</v>
      </c>
      <c r="T19" s="360">
        <v>66</v>
      </c>
      <c r="U19" s="359">
        <v>3</v>
      </c>
      <c r="V19" s="360">
        <v>133</v>
      </c>
      <c r="W19" s="359">
        <f t="shared" si="3"/>
        <v>35</v>
      </c>
      <c r="X19" s="360">
        <v>343</v>
      </c>
      <c r="Y19" s="361"/>
      <c r="Z19" s="362"/>
    </row>
    <row r="20" spans="3:51" x14ac:dyDescent="0.25">
      <c r="C20" s="324">
        <f t="shared" si="0"/>
        <v>8</v>
      </c>
      <c r="D20" s="325">
        <v>4</v>
      </c>
      <c r="E20" s="326">
        <f t="shared" si="1"/>
        <v>215</v>
      </c>
      <c r="F20" s="325">
        <v>8</v>
      </c>
      <c r="G20" s="326">
        <v>215</v>
      </c>
      <c r="H20" s="325">
        <v>249</v>
      </c>
      <c r="I20" s="326">
        <v>37</v>
      </c>
      <c r="J20" s="324">
        <v>37</v>
      </c>
      <c r="K20" s="325">
        <v>2</v>
      </c>
      <c r="L20" s="326">
        <f t="shared" si="2"/>
        <v>43</v>
      </c>
      <c r="M20" s="325">
        <v>3</v>
      </c>
      <c r="N20" s="326">
        <v>185</v>
      </c>
      <c r="O20" s="325">
        <v>4</v>
      </c>
      <c r="P20" s="326">
        <v>129</v>
      </c>
      <c r="Q20" s="325">
        <v>2</v>
      </c>
      <c r="R20" s="326">
        <v>72</v>
      </c>
      <c r="S20" s="325">
        <v>3</v>
      </c>
      <c r="T20" s="326">
        <v>74</v>
      </c>
      <c r="U20" s="325">
        <v>3</v>
      </c>
      <c r="V20" s="326">
        <v>149</v>
      </c>
      <c r="W20" s="325">
        <f t="shared" si="3"/>
        <v>40</v>
      </c>
      <c r="X20" s="326">
        <v>370</v>
      </c>
      <c r="Y20" s="329"/>
      <c r="Z20" s="349"/>
    </row>
    <row r="21" spans="3:51" x14ac:dyDescent="0.25">
      <c r="C21" s="358">
        <f t="shared" si="0"/>
        <v>9</v>
      </c>
      <c r="D21" s="359">
        <v>4</v>
      </c>
      <c r="E21" s="360">
        <f t="shared" si="1"/>
        <v>237</v>
      </c>
      <c r="F21" s="359">
        <v>9</v>
      </c>
      <c r="G21" s="360">
        <v>256</v>
      </c>
      <c r="H21" s="359">
        <v>298</v>
      </c>
      <c r="I21" s="360">
        <v>42</v>
      </c>
      <c r="J21" s="358">
        <v>42</v>
      </c>
      <c r="K21" s="359">
        <v>3</v>
      </c>
      <c r="L21" s="360">
        <f t="shared" si="2"/>
        <v>47</v>
      </c>
      <c r="M21" s="359">
        <v>2</v>
      </c>
      <c r="N21" s="360">
        <v>200</v>
      </c>
      <c r="O21" s="359">
        <v>4</v>
      </c>
      <c r="P21" s="360">
        <v>141</v>
      </c>
      <c r="Q21" s="359">
        <v>2</v>
      </c>
      <c r="R21" s="360">
        <v>80</v>
      </c>
      <c r="S21" s="359">
        <v>4</v>
      </c>
      <c r="T21" s="360">
        <v>83</v>
      </c>
      <c r="U21" s="359">
        <v>3</v>
      </c>
      <c r="V21" s="360">
        <v>166</v>
      </c>
      <c r="W21" s="359">
        <f t="shared" si="3"/>
        <v>45</v>
      </c>
      <c r="X21" s="360">
        <v>400</v>
      </c>
      <c r="Y21" s="361"/>
      <c r="Z21" s="362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</row>
    <row r="22" spans="3:51" ht="15.75" thickBot="1" x14ac:dyDescent="0.3">
      <c r="C22" s="324">
        <f t="shared" si="0"/>
        <v>10</v>
      </c>
      <c r="D22" s="325">
        <v>5</v>
      </c>
      <c r="E22" s="326">
        <f t="shared" si="1"/>
        <v>261</v>
      </c>
      <c r="F22" s="327">
        <v>9</v>
      </c>
      <c r="G22" s="328">
        <v>310</v>
      </c>
      <c r="H22" s="325">
        <v>351</v>
      </c>
      <c r="I22" s="326">
        <v>47</v>
      </c>
      <c r="J22" s="324">
        <v>48</v>
      </c>
      <c r="K22" s="325">
        <v>2</v>
      </c>
      <c r="L22" s="326">
        <f t="shared" si="2"/>
        <v>52</v>
      </c>
      <c r="M22" s="325">
        <v>3</v>
      </c>
      <c r="N22" s="326">
        <v>216</v>
      </c>
      <c r="O22" s="325">
        <v>4</v>
      </c>
      <c r="P22" s="326">
        <v>156</v>
      </c>
      <c r="Q22" s="325">
        <v>3</v>
      </c>
      <c r="R22" s="326">
        <v>89</v>
      </c>
      <c r="S22" s="325">
        <v>3</v>
      </c>
      <c r="T22" s="326">
        <v>93</v>
      </c>
      <c r="U22" s="325">
        <v>3</v>
      </c>
      <c r="V22" s="326">
        <v>186</v>
      </c>
      <c r="W22" s="325">
        <f t="shared" si="3"/>
        <v>50</v>
      </c>
      <c r="X22" s="326">
        <v>432</v>
      </c>
      <c r="Y22" s="329"/>
      <c r="Z22" s="34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</row>
    <row r="23" spans="3:51" x14ac:dyDescent="0.25">
      <c r="C23" s="358">
        <f t="shared" si="0"/>
        <v>11</v>
      </c>
      <c r="D23" s="359">
        <v>4</v>
      </c>
      <c r="E23" s="360">
        <f t="shared" si="1"/>
        <v>287</v>
      </c>
      <c r="F23" s="361"/>
      <c r="G23" s="361"/>
      <c r="H23" s="359">
        <v>407</v>
      </c>
      <c r="I23" s="360">
        <v>52</v>
      </c>
      <c r="J23" s="358">
        <v>55</v>
      </c>
      <c r="K23" s="359">
        <v>2</v>
      </c>
      <c r="L23" s="360">
        <f t="shared" si="2"/>
        <v>57</v>
      </c>
      <c r="M23" s="359">
        <v>3</v>
      </c>
      <c r="N23" s="360">
        <v>233</v>
      </c>
      <c r="O23" s="359">
        <v>4</v>
      </c>
      <c r="P23" s="360">
        <v>171</v>
      </c>
      <c r="Q23" s="359">
        <v>3</v>
      </c>
      <c r="R23" s="360">
        <v>99</v>
      </c>
      <c r="S23" s="359">
        <v>3</v>
      </c>
      <c r="T23" s="360">
        <v>104</v>
      </c>
      <c r="U23" s="359">
        <v>3</v>
      </c>
      <c r="V23" s="360">
        <v>209</v>
      </c>
      <c r="W23" s="359">
        <f t="shared" si="3"/>
        <v>55</v>
      </c>
      <c r="X23" s="360">
        <v>466</v>
      </c>
      <c r="Y23" s="361"/>
      <c r="Z23" s="362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</row>
    <row r="24" spans="3:51" x14ac:dyDescent="0.25">
      <c r="C24" s="324">
        <f t="shared" si="0"/>
        <v>12</v>
      </c>
      <c r="D24" s="325">
        <v>6</v>
      </c>
      <c r="E24" s="326">
        <f t="shared" si="1"/>
        <v>316</v>
      </c>
      <c r="F24" s="329"/>
      <c r="G24" s="329"/>
      <c r="H24" s="325">
        <v>466</v>
      </c>
      <c r="I24" s="326">
        <v>58</v>
      </c>
      <c r="J24" s="324">
        <v>63</v>
      </c>
      <c r="K24" s="325">
        <v>2</v>
      </c>
      <c r="L24" s="326">
        <f t="shared" si="2"/>
        <v>63</v>
      </c>
      <c r="M24" s="325">
        <v>3</v>
      </c>
      <c r="N24" s="326">
        <v>252</v>
      </c>
      <c r="O24" s="325">
        <v>4</v>
      </c>
      <c r="P24" s="326">
        <v>188</v>
      </c>
      <c r="Q24" s="325">
        <v>2</v>
      </c>
      <c r="R24" s="326">
        <v>111</v>
      </c>
      <c r="S24" s="325">
        <v>4</v>
      </c>
      <c r="T24" s="326">
        <v>117</v>
      </c>
      <c r="U24" s="325">
        <v>3</v>
      </c>
      <c r="V24" s="326">
        <v>134</v>
      </c>
      <c r="W24" s="325">
        <f t="shared" si="3"/>
        <v>60</v>
      </c>
      <c r="X24" s="326">
        <v>504</v>
      </c>
      <c r="Y24" s="329"/>
      <c r="Z24" s="34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</row>
    <row r="25" spans="3:51" x14ac:dyDescent="0.25">
      <c r="C25" s="358">
        <f t="shared" si="0"/>
        <v>13</v>
      </c>
      <c r="D25" s="359">
        <v>5</v>
      </c>
      <c r="E25" s="360">
        <f t="shared" si="1"/>
        <v>348</v>
      </c>
      <c r="F25" s="361"/>
      <c r="G25" s="361"/>
      <c r="H25" s="359">
        <v>527</v>
      </c>
      <c r="I25" s="360">
        <v>65</v>
      </c>
      <c r="J25" s="358">
        <v>71</v>
      </c>
      <c r="K25" s="359">
        <v>3</v>
      </c>
      <c r="L25" s="360">
        <f t="shared" si="2"/>
        <v>69</v>
      </c>
      <c r="M25" s="359">
        <v>3</v>
      </c>
      <c r="N25" s="360">
        <v>272</v>
      </c>
      <c r="O25" s="359">
        <v>4</v>
      </c>
      <c r="P25" s="360">
        <v>207</v>
      </c>
      <c r="Q25" s="359">
        <v>3</v>
      </c>
      <c r="R25" s="360">
        <v>124</v>
      </c>
      <c r="S25" s="359">
        <v>3</v>
      </c>
      <c r="T25" s="360">
        <v>131</v>
      </c>
      <c r="U25" s="359">
        <v>3</v>
      </c>
      <c r="V25" s="360">
        <v>262</v>
      </c>
      <c r="W25" s="359">
        <f t="shared" si="3"/>
        <v>65</v>
      </c>
      <c r="X25" s="360">
        <v>544</v>
      </c>
      <c r="Y25" s="361"/>
      <c r="Z25" s="362"/>
      <c r="AA25" s="329"/>
      <c r="AB25" s="664"/>
      <c r="AC25" s="664"/>
      <c r="AD25" s="664"/>
      <c r="AE25" s="664"/>
      <c r="AF25" s="665"/>
      <c r="AG25" s="329"/>
      <c r="AH25" s="664"/>
      <c r="AI25" s="664"/>
      <c r="AJ25" s="664"/>
      <c r="AK25" s="664"/>
      <c r="AL25" s="665"/>
      <c r="AM25" s="329"/>
      <c r="AN25" s="664"/>
      <c r="AO25" s="664"/>
      <c r="AP25" s="664"/>
      <c r="AQ25" s="665"/>
      <c r="AR25" s="665"/>
      <c r="AS25" s="329"/>
      <c r="AT25" s="664"/>
      <c r="AU25" s="664"/>
      <c r="AV25" s="664"/>
      <c r="AW25" s="665"/>
      <c r="AX25" s="329"/>
      <c r="AY25" s="329"/>
    </row>
    <row r="26" spans="3:51" x14ac:dyDescent="0.25">
      <c r="C26" s="324">
        <f t="shared" si="0"/>
        <v>14</v>
      </c>
      <c r="D26" s="325">
        <v>5</v>
      </c>
      <c r="E26" s="326">
        <f t="shared" si="1"/>
        <v>383</v>
      </c>
      <c r="F26" s="329"/>
      <c r="G26" s="329"/>
      <c r="H26" s="325">
        <v>591</v>
      </c>
      <c r="I26" s="326">
        <v>73</v>
      </c>
      <c r="J26" s="324">
        <v>81</v>
      </c>
      <c r="K26" s="325">
        <v>2</v>
      </c>
      <c r="L26" s="326">
        <f t="shared" si="2"/>
        <v>76</v>
      </c>
      <c r="M26" s="325">
        <v>2</v>
      </c>
      <c r="N26" s="326">
        <v>294</v>
      </c>
      <c r="O26" s="325">
        <v>4</v>
      </c>
      <c r="P26" s="326">
        <v>228</v>
      </c>
      <c r="Q26" s="325">
        <v>3</v>
      </c>
      <c r="R26" s="326">
        <v>138</v>
      </c>
      <c r="S26" s="325">
        <v>4</v>
      </c>
      <c r="T26" s="326">
        <v>147</v>
      </c>
      <c r="U26" s="325">
        <v>3</v>
      </c>
      <c r="V26" s="326">
        <v>293</v>
      </c>
      <c r="W26" s="325">
        <f t="shared" si="3"/>
        <v>70</v>
      </c>
      <c r="X26" s="326">
        <v>587</v>
      </c>
      <c r="Y26" s="329"/>
      <c r="Z26" s="349"/>
      <c r="AA26" s="329"/>
      <c r="AB26" s="329"/>
      <c r="AC26" s="329"/>
      <c r="AD26" s="329"/>
      <c r="AE26" s="329"/>
      <c r="AF26" s="665"/>
      <c r="AG26" s="329"/>
      <c r="AH26" s="329"/>
      <c r="AI26" s="329"/>
      <c r="AJ26" s="329"/>
      <c r="AK26" s="329"/>
      <c r="AL26" s="665"/>
      <c r="AM26" s="329"/>
      <c r="AN26" s="329"/>
      <c r="AO26" s="329"/>
      <c r="AP26" s="329"/>
      <c r="AQ26" s="665"/>
      <c r="AR26" s="665"/>
      <c r="AS26" s="329"/>
      <c r="AT26" s="329"/>
      <c r="AU26" s="329"/>
      <c r="AV26" s="329"/>
      <c r="AW26" s="665"/>
      <c r="AX26" s="329"/>
      <c r="AY26" s="329"/>
    </row>
    <row r="27" spans="3:51" x14ac:dyDescent="0.25">
      <c r="C27" s="358">
        <f t="shared" si="0"/>
        <v>15</v>
      </c>
      <c r="D27" s="359">
        <v>6</v>
      </c>
      <c r="E27" s="360">
        <f t="shared" si="1"/>
        <v>421</v>
      </c>
      <c r="F27" s="361"/>
      <c r="G27" s="361"/>
      <c r="H27" s="359">
        <v>658</v>
      </c>
      <c r="I27" s="360">
        <v>82</v>
      </c>
      <c r="J27" s="358">
        <v>93</v>
      </c>
      <c r="K27" s="359">
        <v>3</v>
      </c>
      <c r="L27" s="360">
        <f t="shared" si="2"/>
        <v>84</v>
      </c>
      <c r="M27" s="359">
        <v>3</v>
      </c>
      <c r="N27" s="360">
        <v>317</v>
      </c>
      <c r="O27" s="359">
        <v>4</v>
      </c>
      <c r="P27" s="360">
        <v>251</v>
      </c>
      <c r="Q27" s="359">
        <v>3</v>
      </c>
      <c r="R27" s="360">
        <v>154</v>
      </c>
      <c r="S27" s="359">
        <v>3</v>
      </c>
      <c r="T27" s="360">
        <v>164</v>
      </c>
      <c r="U27" s="359">
        <v>3</v>
      </c>
      <c r="V27" s="360">
        <v>328</v>
      </c>
      <c r="W27" s="359">
        <f t="shared" si="3"/>
        <v>75</v>
      </c>
      <c r="X27" s="360">
        <v>634</v>
      </c>
      <c r="Y27" s="361"/>
      <c r="Z27" s="362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</row>
    <row r="28" spans="3:51" x14ac:dyDescent="0.25">
      <c r="C28" s="324">
        <f t="shared" si="0"/>
        <v>16</v>
      </c>
      <c r="D28" s="325">
        <v>6</v>
      </c>
      <c r="E28" s="326">
        <f t="shared" si="1"/>
        <v>463</v>
      </c>
      <c r="F28" s="329"/>
      <c r="G28" s="329"/>
      <c r="H28" s="325">
        <v>727</v>
      </c>
      <c r="I28" s="326">
        <v>92</v>
      </c>
      <c r="J28" s="324">
        <v>106</v>
      </c>
      <c r="K28" s="325">
        <v>2</v>
      </c>
      <c r="L28" s="326">
        <f t="shared" si="2"/>
        <v>92</v>
      </c>
      <c r="M28" s="325">
        <v>3</v>
      </c>
      <c r="N28" s="326">
        <v>343</v>
      </c>
      <c r="O28" s="325">
        <v>4</v>
      </c>
      <c r="P28" s="326">
        <v>276</v>
      </c>
      <c r="Q28" s="325">
        <v>3</v>
      </c>
      <c r="R28" s="326">
        <v>171</v>
      </c>
      <c r="S28" s="325">
        <v>4</v>
      </c>
      <c r="T28" s="326">
        <v>184</v>
      </c>
      <c r="U28" s="325">
        <v>3</v>
      </c>
      <c r="V28" s="326">
        <v>368</v>
      </c>
      <c r="W28" s="325">
        <f t="shared" si="3"/>
        <v>80</v>
      </c>
      <c r="X28" s="326">
        <v>685</v>
      </c>
      <c r="Y28" s="329"/>
      <c r="Z28" s="34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</row>
    <row r="29" spans="3:51" x14ac:dyDescent="0.25">
      <c r="C29" s="358">
        <f t="shared" si="0"/>
        <v>17</v>
      </c>
      <c r="D29" s="359">
        <v>6</v>
      </c>
      <c r="E29" s="360">
        <f t="shared" si="1"/>
        <v>509</v>
      </c>
      <c r="F29" s="361"/>
      <c r="G29" s="361"/>
      <c r="H29" s="359">
        <v>799</v>
      </c>
      <c r="I29" s="360">
        <v>103</v>
      </c>
      <c r="J29" s="358">
        <v>121</v>
      </c>
      <c r="K29" s="359">
        <v>3</v>
      </c>
      <c r="L29" s="360">
        <f t="shared" si="2"/>
        <v>101</v>
      </c>
      <c r="M29" s="359">
        <v>3</v>
      </c>
      <c r="N29" s="360">
        <v>370</v>
      </c>
      <c r="O29" s="359">
        <v>4</v>
      </c>
      <c r="P29" s="360">
        <v>303</v>
      </c>
      <c r="Q29" s="359">
        <v>3</v>
      </c>
      <c r="R29" s="360">
        <v>191</v>
      </c>
      <c r="S29" s="359">
        <v>3</v>
      </c>
      <c r="T29" s="360">
        <v>206</v>
      </c>
      <c r="U29" s="359">
        <v>3</v>
      </c>
      <c r="V29" s="360">
        <v>412</v>
      </c>
      <c r="W29" s="359">
        <f t="shared" si="3"/>
        <v>85</v>
      </c>
      <c r="X29" s="360">
        <v>740</v>
      </c>
      <c r="Y29" s="361"/>
      <c r="Z29" s="362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</row>
    <row r="30" spans="3:51" x14ac:dyDescent="0.25">
      <c r="C30" s="324">
        <f t="shared" si="0"/>
        <v>18</v>
      </c>
      <c r="D30" s="325">
        <v>6</v>
      </c>
      <c r="E30" s="326">
        <f t="shared" si="1"/>
        <v>560</v>
      </c>
      <c r="F30" s="329"/>
      <c r="G30" s="329"/>
      <c r="H30" s="325">
        <v>872</v>
      </c>
      <c r="I30" s="326">
        <v>115</v>
      </c>
      <c r="J30" s="324">
        <v>137</v>
      </c>
      <c r="K30" s="325">
        <v>2</v>
      </c>
      <c r="L30" s="326">
        <f t="shared" si="2"/>
        <v>111</v>
      </c>
      <c r="M30" s="325">
        <v>3</v>
      </c>
      <c r="N30" s="326">
        <v>400</v>
      </c>
      <c r="O30" s="325">
        <v>4</v>
      </c>
      <c r="P30" s="326">
        <v>334</v>
      </c>
      <c r="Q30" s="325">
        <v>3</v>
      </c>
      <c r="R30" s="326">
        <v>213</v>
      </c>
      <c r="S30" s="325">
        <v>4</v>
      </c>
      <c r="T30" s="326">
        <v>231</v>
      </c>
      <c r="U30" s="325">
        <v>3</v>
      </c>
      <c r="V30" s="326">
        <v>461</v>
      </c>
      <c r="W30" s="325">
        <f t="shared" si="3"/>
        <v>90</v>
      </c>
      <c r="X30" s="326">
        <v>799</v>
      </c>
      <c r="Y30" s="329"/>
      <c r="Z30" s="34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</row>
    <row r="31" spans="3:51" x14ac:dyDescent="0.25">
      <c r="C31" s="358">
        <f t="shared" si="0"/>
        <v>19</v>
      </c>
      <c r="D31" s="359">
        <v>7</v>
      </c>
      <c r="E31" s="360">
        <f t="shared" si="1"/>
        <v>616</v>
      </c>
      <c r="F31" s="361"/>
      <c r="G31" s="361"/>
      <c r="H31" s="359">
        <v>949</v>
      </c>
      <c r="I31" s="360">
        <v>129</v>
      </c>
      <c r="J31" s="358">
        <v>157</v>
      </c>
      <c r="K31" s="359">
        <v>3</v>
      </c>
      <c r="L31" s="360">
        <f t="shared" si="2"/>
        <v>122</v>
      </c>
      <c r="M31" s="359">
        <v>3</v>
      </c>
      <c r="N31" s="360">
        <v>432</v>
      </c>
      <c r="O31" s="359">
        <v>4</v>
      </c>
      <c r="P31" s="360">
        <v>367</v>
      </c>
      <c r="Q31" s="359">
        <v>3</v>
      </c>
      <c r="R31" s="360">
        <v>237</v>
      </c>
      <c r="S31" s="359">
        <v>4</v>
      </c>
      <c r="T31" s="360">
        <v>258</v>
      </c>
      <c r="U31" s="359">
        <v>3</v>
      </c>
      <c r="V31" s="360">
        <v>517</v>
      </c>
      <c r="W31" s="359">
        <f t="shared" si="3"/>
        <v>95</v>
      </c>
      <c r="X31" s="360">
        <v>863</v>
      </c>
      <c r="Y31" s="361"/>
      <c r="Z31" s="362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</row>
    <row r="32" spans="3:51" x14ac:dyDescent="0.25">
      <c r="C32" s="324">
        <f t="shared" si="0"/>
        <v>20</v>
      </c>
      <c r="D32" s="325">
        <v>7</v>
      </c>
      <c r="E32" s="326">
        <f t="shared" si="1"/>
        <v>678</v>
      </c>
      <c r="F32" s="329"/>
      <c r="G32" s="329"/>
      <c r="H32" s="325">
        <v>1027</v>
      </c>
      <c r="I32" s="326">
        <v>145</v>
      </c>
      <c r="J32" s="324">
        <v>179</v>
      </c>
      <c r="K32" s="325">
        <v>2</v>
      </c>
      <c r="L32" s="326">
        <v>135</v>
      </c>
      <c r="M32" s="325">
        <v>3</v>
      </c>
      <c r="N32" s="326">
        <v>466</v>
      </c>
      <c r="O32" s="325">
        <v>4</v>
      </c>
      <c r="P32" s="326">
        <v>404</v>
      </c>
      <c r="Q32" s="325">
        <v>3</v>
      </c>
      <c r="R32" s="326">
        <v>265</v>
      </c>
      <c r="S32" s="325">
        <v>4</v>
      </c>
      <c r="T32" s="326">
        <v>289</v>
      </c>
      <c r="U32" s="325">
        <v>3</v>
      </c>
      <c r="V32" s="326">
        <v>579</v>
      </c>
      <c r="W32" s="325">
        <f t="shared" si="3"/>
        <v>100</v>
      </c>
      <c r="X32" s="326">
        <v>932</v>
      </c>
      <c r="Y32" s="329"/>
      <c r="Z32" s="34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</row>
    <row r="33" spans="3:51" x14ac:dyDescent="0.25">
      <c r="C33" s="358">
        <f t="shared" si="0"/>
        <v>21</v>
      </c>
      <c r="D33" s="359">
        <v>7</v>
      </c>
      <c r="E33" s="360">
        <f t="shared" si="1"/>
        <v>746</v>
      </c>
      <c r="F33" s="361"/>
      <c r="G33" s="361"/>
      <c r="H33" s="359">
        <v>1107</v>
      </c>
      <c r="I33" s="360">
        <v>162</v>
      </c>
      <c r="J33" s="358">
        <v>204</v>
      </c>
      <c r="K33" s="359">
        <v>3</v>
      </c>
      <c r="L33" s="360">
        <f>148</f>
        <v>148</v>
      </c>
      <c r="M33" s="359">
        <v>3</v>
      </c>
      <c r="N33" s="360">
        <v>503</v>
      </c>
      <c r="O33" s="359">
        <v>4</v>
      </c>
      <c r="P33" s="360">
        <v>444</v>
      </c>
      <c r="Q33" s="359">
        <v>3</v>
      </c>
      <c r="R33" s="360">
        <v>295</v>
      </c>
      <c r="S33" s="359">
        <v>3</v>
      </c>
      <c r="T33" s="360">
        <v>324</v>
      </c>
      <c r="U33" s="359">
        <v>3</v>
      </c>
      <c r="V33" s="360">
        <v>648</v>
      </c>
      <c r="W33" s="359">
        <f t="shared" si="3"/>
        <v>105</v>
      </c>
      <c r="X33" s="360">
        <v>1007</v>
      </c>
      <c r="Y33" s="361"/>
      <c r="Z33" s="362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</row>
    <row r="34" spans="3:51" x14ac:dyDescent="0.25">
      <c r="C34" s="324">
        <f t="shared" si="0"/>
        <v>22</v>
      </c>
      <c r="D34" s="325">
        <v>7</v>
      </c>
      <c r="E34" s="326">
        <f t="shared" si="1"/>
        <v>821</v>
      </c>
      <c r="F34" s="329"/>
      <c r="G34" s="329"/>
      <c r="H34" s="325">
        <v>1190</v>
      </c>
      <c r="I34" s="326">
        <v>182</v>
      </c>
      <c r="J34" s="324">
        <v>232</v>
      </c>
      <c r="K34" s="325">
        <v>3</v>
      </c>
      <c r="L34" s="326">
        <f>ROUND(L33/10,0)+L33</f>
        <v>163</v>
      </c>
      <c r="M34" s="325">
        <v>3</v>
      </c>
      <c r="N34" s="326">
        <v>544</v>
      </c>
      <c r="O34" s="325">
        <v>4</v>
      </c>
      <c r="P34" s="326">
        <v>488</v>
      </c>
      <c r="Q34" s="325">
        <v>4</v>
      </c>
      <c r="R34" s="326">
        <v>329</v>
      </c>
      <c r="S34" s="325">
        <v>4</v>
      </c>
      <c r="T34" s="326">
        <v>363</v>
      </c>
      <c r="U34" s="325">
        <v>3</v>
      </c>
      <c r="V34" s="326">
        <v>726</v>
      </c>
      <c r="W34" s="325">
        <f t="shared" si="3"/>
        <v>110</v>
      </c>
      <c r="X34" s="326">
        <v>1087</v>
      </c>
      <c r="Y34" s="329"/>
      <c r="Z34" s="34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</row>
    <row r="35" spans="3:51" x14ac:dyDescent="0.25">
      <c r="C35" s="358">
        <f t="shared" si="0"/>
        <v>23</v>
      </c>
      <c r="D35" s="359">
        <v>7</v>
      </c>
      <c r="E35" s="360">
        <f t="shared" si="1"/>
        <v>903</v>
      </c>
      <c r="F35" s="361"/>
      <c r="G35" s="361"/>
      <c r="H35" s="359">
        <v>1275</v>
      </c>
      <c r="I35" s="360">
        <v>203</v>
      </c>
      <c r="J35" s="358">
        <v>265</v>
      </c>
      <c r="K35" s="359">
        <v>2</v>
      </c>
      <c r="L35" s="360">
        <f t="shared" si="2"/>
        <v>179</v>
      </c>
      <c r="M35" s="359">
        <v>3</v>
      </c>
      <c r="N35" s="360">
        <v>587</v>
      </c>
      <c r="O35" s="359">
        <v>4</v>
      </c>
      <c r="P35" s="360">
        <v>537</v>
      </c>
      <c r="Q35" s="359">
        <v>3</v>
      </c>
      <c r="R35" s="360">
        <v>367</v>
      </c>
      <c r="S35" s="359">
        <v>4</v>
      </c>
      <c r="T35" s="360">
        <v>407</v>
      </c>
      <c r="U35" s="359">
        <v>3</v>
      </c>
      <c r="V35" s="360">
        <v>813</v>
      </c>
      <c r="W35" s="359">
        <f t="shared" si="3"/>
        <v>115</v>
      </c>
      <c r="X35" s="360">
        <v>1174</v>
      </c>
      <c r="Y35" s="361"/>
      <c r="Z35" s="362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</row>
    <row r="36" spans="3:51" x14ac:dyDescent="0.25">
      <c r="C36" s="324">
        <f t="shared" si="0"/>
        <v>24</v>
      </c>
      <c r="D36" s="325">
        <v>8</v>
      </c>
      <c r="E36" s="326">
        <f t="shared" si="1"/>
        <v>993</v>
      </c>
      <c r="F36" s="329"/>
      <c r="G36" s="329"/>
      <c r="H36" s="325">
        <v>1361</v>
      </c>
      <c r="I36" s="326">
        <v>228</v>
      </c>
      <c r="J36" s="324">
        <v>302</v>
      </c>
      <c r="K36" s="325">
        <v>3</v>
      </c>
      <c r="L36" s="326">
        <f t="shared" si="2"/>
        <v>197</v>
      </c>
      <c r="M36" s="325">
        <v>3</v>
      </c>
      <c r="N36" s="326">
        <v>634</v>
      </c>
      <c r="O36" s="325">
        <v>4</v>
      </c>
      <c r="P36" s="326">
        <v>591</v>
      </c>
      <c r="Q36" s="325">
        <v>3</v>
      </c>
      <c r="R36" s="326">
        <v>409</v>
      </c>
      <c r="S36" s="325">
        <v>4</v>
      </c>
      <c r="T36" s="326">
        <v>455</v>
      </c>
      <c r="U36" s="325">
        <v>3</v>
      </c>
      <c r="V36" s="326">
        <v>911</v>
      </c>
      <c r="W36" s="325">
        <f t="shared" si="3"/>
        <v>120</v>
      </c>
      <c r="X36" s="326">
        <v>1268</v>
      </c>
      <c r="Y36" s="329"/>
      <c r="Z36" s="34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</row>
    <row r="37" spans="3:51" ht="15.75" thickBot="1" x14ac:dyDescent="0.3">
      <c r="C37" s="358">
        <f t="shared" si="0"/>
        <v>25</v>
      </c>
      <c r="D37" s="363">
        <v>7</v>
      </c>
      <c r="E37" s="364">
        <f t="shared" si="1"/>
        <v>1092</v>
      </c>
      <c r="F37" s="361"/>
      <c r="G37" s="361"/>
      <c r="H37" s="359">
        <v>1450</v>
      </c>
      <c r="I37" s="360">
        <v>255</v>
      </c>
      <c r="J37" s="358">
        <v>344</v>
      </c>
      <c r="K37" s="359">
        <v>3</v>
      </c>
      <c r="L37" s="360">
        <f t="shared" si="2"/>
        <v>217</v>
      </c>
      <c r="M37" s="359">
        <v>3</v>
      </c>
      <c r="N37" s="360">
        <v>685</v>
      </c>
      <c r="O37" s="359">
        <v>4</v>
      </c>
      <c r="P37" s="360">
        <v>650</v>
      </c>
      <c r="Q37" s="359">
        <v>4</v>
      </c>
      <c r="R37" s="360">
        <v>456</v>
      </c>
      <c r="S37" s="363">
        <v>4</v>
      </c>
      <c r="T37" s="364">
        <v>510</v>
      </c>
      <c r="U37" s="359">
        <v>3</v>
      </c>
      <c r="V37" s="360">
        <v>1020</v>
      </c>
      <c r="W37" s="363">
        <f t="shared" si="3"/>
        <v>125</v>
      </c>
      <c r="X37" s="364">
        <v>1370</v>
      </c>
      <c r="Y37" s="361"/>
      <c r="Z37" s="362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</row>
    <row r="38" spans="3:51" x14ac:dyDescent="0.25">
      <c r="C38" s="324">
        <f t="shared" si="0"/>
        <v>26</v>
      </c>
      <c r="D38" s="329"/>
      <c r="E38" s="329"/>
      <c r="F38" s="329"/>
      <c r="G38" s="329"/>
      <c r="H38" s="325">
        <v>1541</v>
      </c>
      <c r="I38" s="326">
        <v>285</v>
      </c>
      <c r="J38" s="324">
        <v>392</v>
      </c>
      <c r="K38" s="325">
        <v>3</v>
      </c>
      <c r="L38" s="326">
        <v>238</v>
      </c>
      <c r="M38" s="325">
        <v>3</v>
      </c>
      <c r="N38" s="326">
        <v>740</v>
      </c>
      <c r="O38" s="325">
        <v>4</v>
      </c>
      <c r="P38" s="326">
        <v>715</v>
      </c>
      <c r="Q38" s="325">
        <v>3</v>
      </c>
      <c r="R38" s="326">
        <v>508</v>
      </c>
      <c r="S38" s="329"/>
      <c r="T38" s="329"/>
      <c r="U38" s="325">
        <v>3</v>
      </c>
      <c r="V38" s="326">
        <v>1142</v>
      </c>
      <c r="W38" s="329"/>
      <c r="X38" s="329"/>
      <c r="Y38" s="329"/>
      <c r="Z38" s="34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</row>
    <row r="39" spans="3:51" x14ac:dyDescent="0.25">
      <c r="C39" s="358">
        <f t="shared" si="0"/>
        <v>27</v>
      </c>
      <c r="D39" s="361"/>
      <c r="E39" s="361"/>
      <c r="F39" s="361"/>
      <c r="G39" s="361"/>
      <c r="H39" s="359">
        <v>1633</v>
      </c>
      <c r="I39" s="360">
        <v>320</v>
      </c>
      <c r="J39" s="358">
        <v>447</v>
      </c>
      <c r="K39" s="359">
        <v>3</v>
      </c>
      <c r="L39" s="360">
        <f t="shared" si="2"/>
        <v>262</v>
      </c>
      <c r="M39" s="359">
        <v>3</v>
      </c>
      <c r="N39" s="360">
        <v>799</v>
      </c>
      <c r="O39" s="359">
        <v>4</v>
      </c>
      <c r="P39" s="360">
        <v>787</v>
      </c>
      <c r="Q39" s="359">
        <v>4</v>
      </c>
      <c r="R39" s="360">
        <v>567</v>
      </c>
      <c r="S39" s="361"/>
      <c r="T39" s="361"/>
      <c r="U39" s="359">
        <v>3</v>
      </c>
      <c r="V39" s="360">
        <v>1279</v>
      </c>
      <c r="W39" s="361"/>
      <c r="X39" s="361"/>
      <c r="Y39" s="361"/>
      <c r="Z39" s="362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</row>
    <row r="40" spans="3:51" x14ac:dyDescent="0.25">
      <c r="C40" s="324">
        <f t="shared" si="0"/>
        <v>28</v>
      </c>
      <c r="D40" s="329"/>
      <c r="E40" s="329"/>
      <c r="F40" s="329"/>
      <c r="G40" s="329"/>
      <c r="H40" s="325">
        <v>1728</v>
      </c>
      <c r="I40" s="326">
        <v>358</v>
      </c>
      <c r="J40" s="324">
        <v>510</v>
      </c>
      <c r="K40" s="325">
        <v>2</v>
      </c>
      <c r="L40" s="326">
        <f t="shared" si="2"/>
        <v>288</v>
      </c>
      <c r="M40" s="325">
        <v>3</v>
      </c>
      <c r="N40" s="326">
        <v>863</v>
      </c>
      <c r="O40" s="325">
        <v>4</v>
      </c>
      <c r="P40" s="326">
        <v>865</v>
      </c>
      <c r="Q40" s="325">
        <v>3</v>
      </c>
      <c r="R40" s="326">
        <v>632</v>
      </c>
      <c r="S40" s="329"/>
      <c r="T40" s="329"/>
      <c r="U40" s="325">
        <v>3</v>
      </c>
      <c r="V40" s="326">
        <v>1433</v>
      </c>
      <c r="W40" s="329"/>
      <c r="X40" s="329"/>
      <c r="Y40" s="329"/>
      <c r="Z40" s="34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</row>
    <row r="41" spans="3:51" x14ac:dyDescent="0.25">
      <c r="C41" s="358">
        <f t="shared" si="0"/>
        <v>29</v>
      </c>
      <c r="D41" s="361"/>
      <c r="E41" s="361"/>
      <c r="F41" s="361"/>
      <c r="G41" s="361"/>
      <c r="H41" s="359">
        <v>1824</v>
      </c>
      <c r="I41" s="360">
        <v>401</v>
      </c>
      <c r="J41" s="358">
        <v>581</v>
      </c>
      <c r="K41" s="359">
        <v>3</v>
      </c>
      <c r="L41" s="360">
        <f t="shared" si="2"/>
        <v>317</v>
      </c>
      <c r="M41" s="359">
        <v>3</v>
      </c>
      <c r="N41" s="360">
        <v>932</v>
      </c>
      <c r="O41" s="359">
        <v>4</v>
      </c>
      <c r="P41" s="360">
        <v>952</v>
      </c>
      <c r="Q41" s="359">
        <v>4</v>
      </c>
      <c r="R41" s="360">
        <v>705</v>
      </c>
      <c r="S41" s="361"/>
      <c r="T41" s="361"/>
      <c r="U41" s="359">
        <v>3</v>
      </c>
      <c r="V41" s="360">
        <v>1605</v>
      </c>
      <c r="W41" s="361"/>
      <c r="X41" s="361"/>
      <c r="Y41" s="361"/>
      <c r="Z41" s="362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</row>
    <row r="42" spans="3:51" ht="15.75" thickBot="1" x14ac:dyDescent="0.3">
      <c r="C42" s="324">
        <f t="shared" si="0"/>
        <v>30</v>
      </c>
      <c r="D42" s="329"/>
      <c r="E42" s="329"/>
      <c r="F42" s="329"/>
      <c r="G42" s="329"/>
      <c r="H42" s="325">
        <v>1923</v>
      </c>
      <c r="I42" s="326">
        <v>449</v>
      </c>
      <c r="J42" s="330">
        <v>662</v>
      </c>
      <c r="K42" s="325">
        <v>3</v>
      </c>
      <c r="L42" s="326">
        <f t="shared" si="2"/>
        <v>349</v>
      </c>
      <c r="M42" s="327">
        <v>3</v>
      </c>
      <c r="N42" s="328">
        <v>1006</v>
      </c>
      <c r="O42" s="327">
        <v>4</v>
      </c>
      <c r="P42" s="328">
        <v>1047</v>
      </c>
      <c r="Q42" s="327">
        <v>3</v>
      </c>
      <c r="R42" s="328">
        <v>786</v>
      </c>
      <c r="S42" s="329"/>
      <c r="T42" s="329"/>
      <c r="U42" s="327">
        <v>3</v>
      </c>
      <c r="V42" s="328">
        <v>1798</v>
      </c>
      <c r="W42" s="329"/>
      <c r="X42" s="329"/>
      <c r="Y42" s="329"/>
      <c r="Z42" s="34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</row>
    <row r="43" spans="3:51" x14ac:dyDescent="0.25">
      <c r="C43" s="358">
        <f t="shared" si="0"/>
        <v>31</v>
      </c>
      <c r="D43" s="361"/>
      <c r="E43" s="361"/>
      <c r="F43" s="361"/>
      <c r="G43" s="361"/>
      <c r="H43" s="359">
        <v>2023</v>
      </c>
      <c r="I43" s="360">
        <v>503</v>
      </c>
      <c r="J43" s="361"/>
      <c r="K43" s="359">
        <v>3</v>
      </c>
      <c r="L43" s="360">
        <f t="shared" si="2"/>
        <v>384</v>
      </c>
      <c r="M43" s="361"/>
      <c r="N43" s="361"/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2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</row>
    <row r="44" spans="3:51" x14ac:dyDescent="0.25">
      <c r="C44" s="324">
        <f t="shared" si="0"/>
        <v>32</v>
      </c>
      <c r="D44" s="329"/>
      <c r="E44" s="329"/>
      <c r="F44" s="329"/>
      <c r="G44" s="329"/>
      <c r="H44" s="325">
        <v>2124</v>
      </c>
      <c r="I44" s="326">
        <v>564</v>
      </c>
      <c r="J44" s="329"/>
      <c r="K44" s="325">
        <v>3</v>
      </c>
      <c r="L44" s="326">
        <f t="shared" si="2"/>
        <v>422</v>
      </c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4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</row>
    <row r="45" spans="3:51" ht="15" customHeight="1" x14ac:dyDescent="0.25">
      <c r="C45" s="358">
        <f t="shared" si="0"/>
        <v>33</v>
      </c>
      <c r="D45" s="361"/>
      <c r="E45" s="361"/>
      <c r="F45" s="361"/>
      <c r="G45" s="361"/>
      <c r="H45" s="359">
        <v>2228</v>
      </c>
      <c r="I45" s="360">
        <v>631</v>
      </c>
      <c r="J45" s="361"/>
      <c r="K45" s="359">
        <v>3</v>
      </c>
      <c r="L45" s="360">
        <v>465</v>
      </c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2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</row>
    <row r="46" spans="3:51" ht="15" customHeight="1" x14ac:dyDescent="0.25">
      <c r="C46" s="324">
        <f t="shared" si="0"/>
        <v>34</v>
      </c>
      <c r="D46" s="329"/>
      <c r="E46" s="329"/>
      <c r="F46" s="329"/>
      <c r="G46" s="329"/>
      <c r="H46" s="325">
        <v>2333</v>
      </c>
      <c r="I46" s="326">
        <v>707</v>
      </c>
      <c r="J46" s="329"/>
      <c r="K46" s="325">
        <v>3</v>
      </c>
      <c r="L46" s="326">
        <v>511</v>
      </c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4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</row>
    <row r="47" spans="3:51" ht="15" customHeight="1" x14ac:dyDescent="0.25">
      <c r="C47" s="358">
        <f t="shared" si="0"/>
        <v>35</v>
      </c>
      <c r="D47" s="361"/>
      <c r="E47" s="361"/>
      <c r="F47" s="361"/>
      <c r="G47" s="361"/>
      <c r="H47" s="359">
        <v>2440</v>
      </c>
      <c r="I47" s="360">
        <v>792</v>
      </c>
      <c r="J47" s="361"/>
      <c r="K47" s="359">
        <v>3</v>
      </c>
      <c r="L47" s="360">
        <f t="shared" si="2"/>
        <v>562</v>
      </c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2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</row>
    <row r="48" spans="3:51" ht="15" customHeight="1" x14ac:dyDescent="0.25">
      <c r="C48" s="324">
        <f t="shared" si="0"/>
        <v>36</v>
      </c>
      <c r="D48" s="329"/>
      <c r="E48" s="329"/>
      <c r="F48" s="329"/>
      <c r="G48" s="329"/>
      <c r="H48" s="325">
        <v>2549</v>
      </c>
      <c r="I48" s="326">
        <v>887</v>
      </c>
      <c r="J48" s="329"/>
      <c r="K48" s="325">
        <v>3</v>
      </c>
      <c r="L48" s="326">
        <f t="shared" si="2"/>
        <v>618</v>
      </c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4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</row>
    <row r="49" spans="3:51" ht="15" customHeight="1" x14ac:dyDescent="0.25">
      <c r="C49" s="358">
        <f t="shared" si="0"/>
        <v>37</v>
      </c>
      <c r="D49" s="361"/>
      <c r="E49" s="361"/>
      <c r="F49" s="361"/>
      <c r="G49" s="361"/>
      <c r="H49" s="359">
        <v>2659</v>
      </c>
      <c r="I49" s="360">
        <v>993</v>
      </c>
      <c r="J49" s="361"/>
      <c r="K49" s="359">
        <v>3</v>
      </c>
      <c r="L49" s="360">
        <f t="shared" si="2"/>
        <v>680</v>
      </c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2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</row>
    <row r="50" spans="3:51" ht="15" customHeight="1" x14ac:dyDescent="0.25">
      <c r="C50" s="324">
        <f t="shared" si="0"/>
        <v>38</v>
      </c>
      <c r="D50" s="329"/>
      <c r="E50" s="329"/>
      <c r="F50" s="329"/>
      <c r="G50" s="329"/>
      <c r="H50" s="325">
        <v>2771</v>
      </c>
      <c r="I50" s="326">
        <v>1113</v>
      </c>
      <c r="J50" s="329"/>
      <c r="K50" s="325">
        <v>3</v>
      </c>
      <c r="L50" s="326">
        <f t="shared" si="2"/>
        <v>748</v>
      </c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4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</row>
    <row r="51" spans="3:51" ht="15" customHeight="1" x14ac:dyDescent="0.25">
      <c r="C51" s="324">
        <f t="shared" si="0"/>
        <v>39</v>
      </c>
      <c r="D51" s="329"/>
      <c r="E51" s="329"/>
      <c r="F51" s="329"/>
      <c r="G51" s="329"/>
      <c r="H51" s="325">
        <v>2885</v>
      </c>
      <c r="I51" s="326">
        <v>1246</v>
      </c>
      <c r="J51" s="329"/>
      <c r="K51" s="325">
        <v>3</v>
      </c>
      <c r="L51" s="326">
        <f t="shared" si="2"/>
        <v>823</v>
      </c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4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</row>
    <row r="52" spans="3:51" ht="15" customHeight="1" thickBot="1" x14ac:dyDescent="0.3">
      <c r="C52" s="365">
        <f>C51+1</f>
        <v>40</v>
      </c>
      <c r="D52" s="366"/>
      <c r="E52" s="366"/>
      <c r="F52" s="366"/>
      <c r="G52" s="366"/>
      <c r="H52" s="363">
        <v>3000</v>
      </c>
      <c r="I52" s="364">
        <v>1396</v>
      </c>
      <c r="J52" s="366"/>
      <c r="K52" s="363">
        <v>4</v>
      </c>
      <c r="L52" s="364">
        <f t="shared" si="2"/>
        <v>905</v>
      </c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7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</row>
    <row r="53" spans="3:51" ht="15" customHeight="1" x14ac:dyDescent="0.25"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</row>
    <row r="54" spans="3:51" ht="15" customHeight="1" thickBot="1" x14ac:dyDescent="0.3"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</row>
    <row r="55" spans="3:51" ht="15" customHeight="1" thickBot="1" x14ac:dyDescent="0.3">
      <c r="C55" s="315"/>
      <c r="D55" s="677" t="s">
        <v>144</v>
      </c>
      <c r="E55" s="683"/>
      <c r="F55" s="678"/>
      <c r="G55" s="684" t="s">
        <v>173</v>
      </c>
      <c r="H55" s="683"/>
      <c r="I55" s="678"/>
      <c r="K55" s="677" t="s">
        <v>185</v>
      </c>
      <c r="L55" s="683"/>
      <c r="M55" s="678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  <c r="AU55" s="329"/>
      <c r="AV55" s="329"/>
      <c r="AW55" s="329"/>
      <c r="AX55" s="329"/>
      <c r="AY55" s="329"/>
    </row>
    <row r="56" spans="3:51" ht="15" customHeight="1" thickBot="1" x14ac:dyDescent="0.3">
      <c r="C56" s="337" t="s">
        <v>126</v>
      </c>
      <c r="D56" s="320" t="s">
        <v>170</v>
      </c>
      <c r="E56" s="321" t="s">
        <v>146</v>
      </c>
      <c r="F56" s="322" t="s">
        <v>147</v>
      </c>
      <c r="G56" s="321" t="s">
        <v>170</v>
      </c>
      <c r="H56" s="321" t="s">
        <v>146</v>
      </c>
      <c r="I56" s="322" t="s">
        <v>147</v>
      </c>
      <c r="K56" s="318" t="s">
        <v>145</v>
      </c>
      <c r="L56" s="316" t="s">
        <v>146</v>
      </c>
      <c r="M56" s="317" t="s">
        <v>147</v>
      </c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  <c r="AY56" s="329"/>
    </row>
    <row r="57" spans="3:51" ht="15" customHeight="1" thickBot="1" x14ac:dyDescent="0.3">
      <c r="C57" s="402">
        <v>1</v>
      </c>
      <c r="D57" s="400">
        <v>16</v>
      </c>
      <c r="E57" s="368">
        <v>16</v>
      </c>
      <c r="F57" s="360">
        <v>16</v>
      </c>
      <c r="G57" s="359">
        <f>TRUNC(D57*1.3,0)</f>
        <v>20</v>
      </c>
      <c r="H57" s="368">
        <f t="shared" ref="H57:I57" si="4">TRUNC(E57*1.3,0)</f>
        <v>20</v>
      </c>
      <c r="I57" s="360">
        <f t="shared" si="4"/>
        <v>20</v>
      </c>
      <c r="K57" s="350">
        <f>IF($H$4&gt;0,IF($H$4&lt;41,CHOOSE($H$4,D57,D58,D59,D60,D61,D62,D63,D64,D65,D66,D67,D68,D69,D70,D71,D72,D73,D74,D75,D76,D77,D78,D79,D80,D81,D82,D83,D84,D85,D86,D87,D88,D89,D90,D91,D92,D93,D94,D95,D96),0),0)</f>
        <v>16</v>
      </c>
      <c r="L57" s="351">
        <f>IF($H$4&gt;0,IF($H$4&lt;41,CHOOSE($H$4,E57,E58,E59,E60,E61,E62,E63,E64,E65,E66,E67,E68,E69,E70,E71,E72,E73,E74,E75,E76,E77,E78,E79,E80,E81,E82,E83,E84,E85,E86,E87,E88,E89,E90,E91,E92,E93,E94,E95,E96),0),0)</f>
        <v>16</v>
      </c>
      <c r="M57" s="352">
        <f>IF($H$4&gt;0,IF($H$4&lt;41,CHOOSE($H$4,F57,F58,F59,F60,F61,F62,F63,F64,F65,F66,F67,F68,F69,F70,F71,F72,F73,F74,F75,F76,F77,F78,F79,F80,F81,F82,F83,F84,F85,F86,F87,F88,F89,F90,F91,F92,F93,F94,F95,F96),0),0)</f>
        <v>16</v>
      </c>
      <c r="N57" s="38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  <c r="AY57" s="329"/>
    </row>
    <row r="58" spans="3:51" ht="15" customHeight="1" x14ac:dyDescent="0.25">
      <c r="C58" s="324">
        <f>C57+1</f>
        <v>2</v>
      </c>
      <c r="D58" s="399">
        <v>24</v>
      </c>
      <c r="E58" s="353">
        <v>24</v>
      </c>
      <c r="F58" s="326">
        <v>24</v>
      </c>
      <c r="G58" s="325">
        <v>32</v>
      </c>
      <c r="H58" s="353">
        <v>32</v>
      </c>
      <c r="I58" s="326">
        <v>32</v>
      </c>
      <c r="K58" s="677" t="s">
        <v>173</v>
      </c>
      <c r="L58" s="683"/>
      <c r="M58" s="678"/>
      <c r="Y58" s="329"/>
      <c r="Z58" s="329"/>
      <c r="AA58" s="331"/>
      <c r="AB58" s="331"/>
      <c r="AC58" s="331"/>
      <c r="AD58" s="331"/>
      <c r="AE58" s="331"/>
      <c r="AF58" s="329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</row>
    <row r="59" spans="3:51" ht="15" customHeight="1" x14ac:dyDescent="0.25">
      <c r="C59" s="358">
        <f t="shared" ref="C59:C96" si="5">C58+1</f>
        <v>3</v>
      </c>
      <c r="D59" s="400">
        <v>36</v>
      </c>
      <c r="E59" s="368">
        <v>36</v>
      </c>
      <c r="F59" s="360">
        <v>36</v>
      </c>
      <c r="G59" s="359">
        <v>48</v>
      </c>
      <c r="H59" s="368">
        <v>48</v>
      </c>
      <c r="I59" s="360">
        <v>48</v>
      </c>
      <c r="K59" s="318" t="s">
        <v>170</v>
      </c>
      <c r="L59" s="316" t="s">
        <v>146</v>
      </c>
      <c r="M59" s="317" t="s">
        <v>147</v>
      </c>
      <c r="Y59" s="329"/>
      <c r="Z59" s="329"/>
      <c r="AA59" s="331"/>
      <c r="AB59" s="331"/>
      <c r="AC59" s="331"/>
      <c r="AD59" s="331"/>
      <c r="AE59" s="331"/>
      <c r="AF59" s="329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29"/>
      <c r="AX59" s="329"/>
      <c r="AY59" s="329"/>
    </row>
    <row r="60" spans="3:51" ht="15" customHeight="1" thickBot="1" x14ac:dyDescent="0.3">
      <c r="C60" s="324">
        <f t="shared" si="5"/>
        <v>4</v>
      </c>
      <c r="D60" s="399">
        <v>48</v>
      </c>
      <c r="E60" s="353">
        <v>48</v>
      </c>
      <c r="F60" s="326">
        <v>48</v>
      </c>
      <c r="G60" s="325">
        <v>61</v>
      </c>
      <c r="H60" s="353">
        <v>61</v>
      </c>
      <c r="I60" s="326">
        <v>61</v>
      </c>
      <c r="K60" s="350">
        <f>IF($H$4&gt;0,IF($H$4&lt;41,CHOOSE($H$4,G57,G58,G59,G60,G61,G62,G63,G64,G65,G66,G67,G68,G69,G70,G71,G72,G73,G74,G75,G76,G77,G78,G79,G80,G81,G82,G83,G84,G85,G86,G87,G88,G89,G90,G91,G92,G93,G94,G95,G96),0),0)</f>
        <v>20</v>
      </c>
      <c r="L60" s="351">
        <f>IF($H$4&gt;0,IF($H$4&lt;41,CHOOSE($H$4,H57,H58,H59,H60,H61,H62,H63,H64,H65,H66,H67,H68,H69,H70,H71,H72,H73,H74,H75,H76,H77,H78,H79,H80,H81,H82,H83,H84,H85,H86,H87,H88,H89,H90,H91,H92,H93,H94,H95,H96),0),0)</f>
        <v>20</v>
      </c>
      <c r="M60" s="352">
        <f>IF($H$4&gt;0,IF($H$4&lt;41,CHOOSE($H$4,I57,I58,I59,I60,I61,I62,I63,I64,I65,I66,I67,I68,I69,I70,I71,I72,I73,I74,I75,I76,I77,I78,I79,I80,I81,I82,I83,I84,I85,I86,I87,I88,I89,I90,I91,I92,I93,I94,I95,I96),0),0)</f>
        <v>20</v>
      </c>
      <c r="Y60" s="329"/>
      <c r="Z60" s="329"/>
      <c r="AA60" s="331"/>
      <c r="AB60" s="331"/>
      <c r="AC60" s="331"/>
      <c r="AD60" s="331"/>
      <c r="AE60" s="331"/>
      <c r="AF60" s="329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</row>
    <row r="61" spans="3:51" ht="15" customHeight="1" x14ac:dyDescent="0.25">
      <c r="C61" s="358">
        <f t="shared" si="5"/>
        <v>5</v>
      </c>
      <c r="D61" s="400">
        <v>60</v>
      </c>
      <c r="E61" s="368">
        <v>60</v>
      </c>
      <c r="F61" s="360">
        <v>60</v>
      </c>
      <c r="G61" s="359">
        <f t="shared" ref="G61:G95" si="6">TRUNC(D61*1.3,0)</f>
        <v>78</v>
      </c>
      <c r="H61" s="368">
        <f t="shared" ref="H61:H96" si="7">TRUNC(E61*1.3,0)</f>
        <v>78</v>
      </c>
      <c r="I61" s="360">
        <f t="shared" ref="I61:I95" si="8">TRUNC(F61*1.3,0)</f>
        <v>78</v>
      </c>
      <c r="K61" s="677" t="s">
        <v>186</v>
      </c>
      <c r="L61" s="683"/>
      <c r="M61" s="678"/>
      <c r="Y61" s="329"/>
      <c r="Z61" s="329"/>
      <c r="AA61" s="331"/>
      <c r="AB61" s="331"/>
      <c r="AC61" s="331"/>
      <c r="AD61" s="331"/>
      <c r="AE61" s="331"/>
      <c r="AF61" s="329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</row>
    <row r="62" spans="3:51" ht="15" customHeight="1" x14ac:dyDescent="0.25">
      <c r="C62" s="324">
        <f t="shared" si="5"/>
        <v>6</v>
      </c>
      <c r="D62" s="399">
        <v>74</v>
      </c>
      <c r="E62" s="353">
        <v>74</v>
      </c>
      <c r="F62" s="326">
        <v>74</v>
      </c>
      <c r="G62" s="325">
        <f t="shared" si="6"/>
        <v>96</v>
      </c>
      <c r="H62" s="353">
        <f t="shared" si="7"/>
        <v>96</v>
      </c>
      <c r="I62" s="326">
        <f t="shared" si="8"/>
        <v>96</v>
      </c>
      <c r="K62" s="318" t="s">
        <v>145</v>
      </c>
      <c r="L62" s="316" t="s">
        <v>146</v>
      </c>
      <c r="M62" s="317" t="s">
        <v>147</v>
      </c>
      <c r="Y62" s="329"/>
      <c r="Z62" s="329"/>
      <c r="AA62" s="331"/>
      <c r="AB62" s="331"/>
      <c r="AC62" s="331"/>
      <c r="AD62" s="331"/>
      <c r="AE62" s="331"/>
      <c r="AF62" s="329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</row>
    <row r="63" spans="3:51" ht="15" customHeight="1" x14ac:dyDescent="0.25">
      <c r="C63" s="358">
        <f t="shared" si="5"/>
        <v>7</v>
      </c>
      <c r="D63" s="400">
        <v>86</v>
      </c>
      <c r="E63" s="368">
        <v>86</v>
      </c>
      <c r="F63" s="360">
        <v>86</v>
      </c>
      <c r="G63" s="359">
        <v>114</v>
      </c>
      <c r="H63" s="368">
        <v>114</v>
      </c>
      <c r="I63" s="360">
        <v>114</v>
      </c>
      <c r="K63" s="318">
        <f>IF($I$4&gt;0,IF($I$4&lt;41,CHOOSE($I$4,D57,D58,D59,D60,D61,D62,D63,D64,D65,D66,D67,D68,D69,D70,D71,D72,D73,D74,D75,D76,D77,D78,D79,D80,D81,D82,D83,D84,D85,D86,D87,D88,D89,D90,D91,D92,D93,D94,D95,D96),0),0)</f>
        <v>16</v>
      </c>
      <c r="L63" s="316">
        <f t="shared" ref="L63" si="9">IF($I$4&gt;0,IF($I$4&lt;41,CHOOSE($I$4,E57,E58,E59,E60,E61,E62,E63,E64,E65,E66,E67,E68,E69,E70,E71,E72,E73,E74,E75,E76,E77,E78,E79,E80,E81,E82,E83,E84,E85,E86,E87,E88,E89,E90,E91,E92,E93,E94,E95,E96),0),0)</f>
        <v>16</v>
      </c>
      <c r="M63" s="317">
        <f>IF($I$4&gt;0,IF($I$4&lt;41,CHOOSE($I$4,F57,F58,F59,F60,F61,F62,F63,F64,F65,F66,F67,F68,F69,F70,F71,F72,F73,F74,F75,F76,F77,F78,F79,F80,F81,F82,F83,F84,F85,F86,F87,F88,F89,F90,F91,F92,F93,F94,F95,F96),0),0)</f>
        <v>16</v>
      </c>
      <c r="N63" s="329"/>
      <c r="Y63" s="329"/>
      <c r="Z63" s="329"/>
      <c r="AA63" s="331"/>
      <c r="AB63" s="331"/>
      <c r="AC63" s="331"/>
      <c r="AD63" s="331"/>
      <c r="AE63" s="331"/>
      <c r="AF63" s="329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</row>
    <row r="64" spans="3:51" ht="15" customHeight="1" x14ac:dyDescent="0.25">
      <c r="C64" s="324">
        <f t="shared" si="5"/>
        <v>8</v>
      </c>
      <c r="D64" s="399">
        <v>102</v>
      </c>
      <c r="E64" s="353">
        <v>102</v>
      </c>
      <c r="F64" s="326">
        <v>102</v>
      </c>
      <c r="G64" s="325">
        <f t="shared" si="6"/>
        <v>132</v>
      </c>
      <c r="H64" s="353">
        <f t="shared" si="7"/>
        <v>132</v>
      </c>
      <c r="I64" s="326">
        <f t="shared" si="8"/>
        <v>132</v>
      </c>
      <c r="K64" s="689" t="s">
        <v>173</v>
      </c>
      <c r="L64" s="690"/>
      <c r="M64" s="691"/>
      <c r="Y64" s="329"/>
      <c r="Z64" s="329"/>
      <c r="AA64" s="331"/>
      <c r="AB64" s="331"/>
      <c r="AC64" s="331"/>
      <c r="AD64" s="331"/>
      <c r="AE64" s="331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</row>
    <row r="65" spans="3:51" ht="15" customHeight="1" x14ac:dyDescent="0.25">
      <c r="C65" s="358">
        <f t="shared" si="5"/>
        <v>9</v>
      </c>
      <c r="D65" s="400">
        <v>116</v>
      </c>
      <c r="E65" s="368">
        <v>116</v>
      </c>
      <c r="F65" s="360">
        <v>116</v>
      </c>
      <c r="G65" s="359">
        <f t="shared" si="6"/>
        <v>150</v>
      </c>
      <c r="H65" s="368">
        <f t="shared" si="7"/>
        <v>150</v>
      </c>
      <c r="I65" s="360">
        <f t="shared" si="8"/>
        <v>150</v>
      </c>
      <c r="K65" s="318" t="s">
        <v>170</v>
      </c>
      <c r="L65" s="316" t="s">
        <v>146</v>
      </c>
      <c r="M65" s="317" t="s">
        <v>147</v>
      </c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</row>
    <row r="66" spans="3:51" ht="15" customHeight="1" thickBot="1" x14ac:dyDescent="0.3">
      <c r="C66" s="324">
        <f t="shared" si="5"/>
        <v>10</v>
      </c>
      <c r="D66" s="399">
        <v>132</v>
      </c>
      <c r="E66" s="353">
        <v>132</v>
      </c>
      <c r="F66" s="326">
        <v>132</v>
      </c>
      <c r="G66" s="325">
        <f t="shared" si="6"/>
        <v>171</v>
      </c>
      <c r="H66" s="353">
        <f t="shared" si="7"/>
        <v>171</v>
      </c>
      <c r="I66" s="326">
        <f t="shared" si="8"/>
        <v>171</v>
      </c>
      <c r="K66" s="320">
        <f>IF($I$4&gt;0,IF($I$4&lt;41,CHOOSE($I$4,G57,G58,G59,G60,G61,G62,G63,G64,G65,G66,G67,G68,G69,G70,G71,G72,G73,G74,G75,G76,G77,G78,G79,G80,G81,G82,G83,G84,G85,G86,G87,G88,G89,G90,G91,G92,G93,G94,G95,G96),0),0)</f>
        <v>20</v>
      </c>
      <c r="L66" s="321">
        <f t="shared" ref="L66:M66" si="10">IF($I$4&gt;0,IF($I$4&lt;41,CHOOSE($I$4,H57,H58,H59,H60,H61,H62,H63,H64,H65,H66,H67,H68,H69,H70,H71,H72,H73,H74,H75,H76,H77,H78,H79,H80,H81,H82,H83,H84,H85,H86,H87,H88,H89,H90,H91,H92,H93,H94,H95,H96),0),0)</f>
        <v>20</v>
      </c>
      <c r="M66" s="322">
        <f t="shared" si="10"/>
        <v>20</v>
      </c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</row>
    <row r="67" spans="3:51" ht="15" customHeight="1" x14ac:dyDescent="0.25">
      <c r="C67" s="358">
        <f t="shared" si="5"/>
        <v>11</v>
      </c>
      <c r="D67" s="400">
        <v>146</v>
      </c>
      <c r="E67" s="368">
        <v>146</v>
      </c>
      <c r="F67" s="360">
        <v>146</v>
      </c>
      <c r="G67" s="359">
        <v>190</v>
      </c>
      <c r="H67" s="368">
        <v>190</v>
      </c>
      <c r="I67" s="360">
        <v>190</v>
      </c>
      <c r="K67" s="677" t="s">
        <v>187</v>
      </c>
      <c r="L67" s="683"/>
      <c r="M67" s="678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</row>
    <row r="68" spans="3:51" ht="15" customHeight="1" x14ac:dyDescent="0.25">
      <c r="C68" s="324">
        <f t="shared" si="5"/>
        <v>12</v>
      </c>
      <c r="D68" s="399">
        <v>162</v>
      </c>
      <c r="E68" s="353">
        <v>162</v>
      </c>
      <c r="F68" s="326">
        <v>162</v>
      </c>
      <c r="G68" s="325">
        <v>212</v>
      </c>
      <c r="H68" s="353">
        <v>212</v>
      </c>
      <c r="I68" s="326">
        <v>212</v>
      </c>
      <c r="K68" s="318" t="s">
        <v>145</v>
      </c>
      <c r="L68" s="316" t="s">
        <v>146</v>
      </c>
      <c r="M68" s="317" t="s">
        <v>147</v>
      </c>
      <c r="Y68" s="329"/>
      <c r="Z68" s="329"/>
      <c r="AA68" s="332"/>
      <c r="AB68" s="333"/>
      <c r="AC68" s="333"/>
      <c r="AD68" s="333"/>
      <c r="AE68" s="333"/>
      <c r="AF68" s="333"/>
      <c r="AG68" s="333"/>
      <c r="AH68" s="333"/>
      <c r="AI68" s="334"/>
      <c r="AJ68" s="329"/>
      <c r="AK68" s="333"/>
      <c r="AL68" s="333"/>
      <c r="AM68" s="333"/>
      <c r="AN68" s="333"/>
      <c r="AO68" s="333"/>
      <c r="AP68" s="333"/>
      <c r="AQ68" s="333"/>
      <c r="AR68" s="334"/>
      <c r="AS68" s="329"/>
      <c r="AT68" s="329"/>
      <c r="AU68" s="329"/>
      <c r="AV68" s="329"/>
      <c r="AW68" s="329"/>
      <c r="AX68" s="329"/>
      <c r="AY68" s="329"/>
    </row>
    <row r="69" spans="3:51" ht="15" customHeight="1" x14ac:dyDescent="0.25">
      <c r="C69" s="358">
        <f t="shared" si="5"/>
        <v>13</v>
      </c>
      <c r="D69" s="400">
        <v>179</v>
      </c>
      <c r="E69" s="368">
        <v>179</v>
      </c>
      <c r="F69" s="360">
        <v>179</v>
      </c>
      <c r="G69" s="359">
        <f t="shared" si="6"/>
        <v>232</v>
      </c>
      <c r="H69" s="368">
        <f t="shared" si="7"/>
        <v>232</v>
      </c>
      <c r="I69" s="360">
        <f t="shared" si="8"/>
        <v>232</v>
      </c>
      <c r="K69" s="318">
        <f>IF($J$4&gt;0,IF($J$4&lt;41,CHOOSE($J$4,D57,D58,D59,D60,D61,D62,D63,D64,D65,D66,D67,D68,D69,D70,D71,D72,D73,D74,D75,D76,D77,D78,D79,D80,D81,D82,D83,D84,D85,D86,D87,D88,D89,D90,D91,D92,D93,D94,D95,D96),0),0)</f>
        <v>16</v>
      </c>
      <c r="L69" s="316">
        <f t="shared" ref="L69:M69" si="11">IF($J$4&gt;0,IF($J$4&lt;41,CHOOSE($J$4,E57,E58,E59,E60,E61,E62,E63,E64,E65,E66,E67,E68,E69,E70,E71,E72,E73,E74,E75,E76,E77,E78,E79,E80,E81,E82,E83,E84,E85,E86,E87,E88,E89,E90,E91,E92,E93,E94,E95,E96),0),0)</f>
        <v>16</v>
      </c>
      <c r="M69" s="317">
        <f t="shared" si="11"/>
        <v>16</v>
      </c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34"/>
      <c r="AJ69" s="329"/>
      <c r="AK69" s="329"/>
      <c r="AL69" s="329"/>
      <c r="AM69" s="329"/>
      <c r="AN69" s="329"/>
      <c r="AO69" s="329"/>
      <c r="AP69" s="329"/>
      <c r="AQ69" s="329"/>
      <c r="AR69" s="334"/>
      <c r="AS69" s="329"/>
      <c r="AT69" s="329"/>
      <c r="AU69" s="329"/>
      <c r="AV69" s="329"/>
      <c r="AW69" s="329"/>
      <c r="AX69" s="329"/>
      <c r="AY69" s="329"/>
    </row>
    <row r="70" spans="3:51" ht="15" customHeight="1" x14ac:dyDescent="0.25">
      <c r="C70" s="324">
        <f t="shared" si="5"/>
        <v>14</v>
      </c>
      <c r="D70" s="399">
        <v>195</v>
      </c>
      <c r="E70" s="353">
        <v>195</v>
      </c>
      <c r="F70" s="326">
        <v>195</v>
      </c>
      <c r="G70" s="325">
        <v>254</v>
      </c>
      <c r="H70" s="353">
        <v>254</v>
      </c>
      <c r="I70" s="326">
        <v>254</v>
      </c>
      <c r="K70" s="689" t="s">
        <v>173</v>
      </c>
      <c r="L70" s="690"/>
      <c r="M70" s="691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  <c r="AR70" s="329"/>
      <c r="AS70" s="329"/>
      <c r="AT70" s="329"/>
      <c r="AU70" s="329"/>
      <c r="AV70" s="329"/>
      <c r="AW70" s="329"/>
      <c r="AX70" s="329"/>
      <c r="AY70" s="329"/>
    </row>
    <row r="71" spans="3:51" ht="15" customHeight="1" x14ac:dyDescent="0.25">
      <c r="C71" s="358">
        <f t="shared" si="5"/>
        <v>15</v>
      </c>
      <c r="D71" s="400">
        <v>212</v>
      </c>
      <c r="E71" s="368">
        <v>212</v>
      </c>
      <c r="F71" s="360">
        <v>212</v>
      </c>
      <c r="G71" s="359">
        <f t="shared" si="6"/>
        <v>275</v>
      </c>
      <c r="H71" s="368">
        <f t="shared" si="7"/>
        <v>275</v>
      </c>
      <c r="I71" s="360">
        <f t="shared" si="8"/>
        <v>275</v>
      </c>
      <c r="K71" s="318" t="s">
        <v>170</v>
      </c>
      <c r="L71" s="316" t="s">
        <v>146</v>
      </c>
      <c r="M71" s="317" t="s">
        <v>147</v>
      </c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329"/>
      <c r="AU71" s="329"/>
      <c r="AV71" s="329"/>
      <c r="AW71" s="329"/>
      <c r="AX71" s="329"/>
      <c r="AY71" s="329"/>
    </row>
    <row r="72" spans="3:51" ht="15.75" thickBot="1" x14ac:dyDescent="0.3">
      <c r="C72" s="324">
        <f t="shared" si="5"/>
        <v>16</v>
      </c>
      <c r="D72" s="399">
        <v>229</v>
      </c>
      <c r="E72" s="353">
        <v>229</v>
      </c>
      <c r="F72" s="326">
        <v>229</v>
      </c>
      <c r="G72" s="325">
        <v>298</v>
      </c>
      <c r="H72" s="353">
        <v>298</v>
      </c>
      <c r="I72" s="326">
        <v>298</v>
      </c>
      <c r="K72" s="320">
        <f>IF($J$4&gt;0,IF($J$4&lt;41,CHOOSE($J$4,G57,G58,G59,G60,G61,G62,G63,G64,G65,G66,G67,G68,G69,G70,G71,G72,G73,G74,G75,G76,G77,G78,G79,G80,G81,G82,G83,G84,G85,G86,G87,G88,G89,G90,G91,G92,G93,G94,G95,G96),0),0)</f>
        <v>20</v>
      </c>
      <c r="L72" s="321">
        <f t="shared" ref="L72:M72" si="12">IF($J$4&gt;0,IF($J$4&lt;41,CHOOSE($J$4,H57,H58,H59,H60,H61,H62,H63,H64,H65,H66,H67,H68,H69,H70,H71,H72,H73,H74,H75,H76,H77,H78,H79,H80,H81,H82,H83,H84,H85,H86,H87,H88,H89,H90,H91,H92,H93,H94,H95,H96),0),0)</f>
        <v>20</v>
      </c>
      <c r="M72" s="322">
        <f t="shared" si="12"/>
        <v>20</v>
      </c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  <c r="AP72" s="329"/>
      <c r="AQ72" s="329"/>
      <c r="AR72" s="329"/>
      <c r="AS72" s="329"/>
      <c r="AT72" s="329"/>
      <c r="AU72" s="329"/>
      <c r="AV72" s="329"/>
      <c r="AW72" s="329"/>
      <c r="AX72" s="329"/>
      <c r="AY72" s="329"/>
    </row>
    <row r="73" spans="3:51" x14ac:dyDescent="0.25">
      <c r="C73" s="358">
        <f t="shared" si="5"/>
        <v>17</v>
      </c>
      <c r="D73" s="400">
        <v>246</v>
      </c>
      <c r="E73" s="368">
        <v>246</v>
      </c>
      <c r="F73" s="360">
        <v>246</v>
      </c>
      <c r="G73" s="359">
        <v>320</v>
      </c>
      <c r="H73" s="368">
        <v>320</v>
      </c>
      <c r="I73" s="360">
        <v>320</v>
      </c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</row>
    <row r="74" spans="3:51" x14ac:dyDescent="0.25">
      <c r="C74" s="324">
        <f t="shared" si="5"/>
        <v>18</v>
      </c>
      <c r="D74" s="399">
        <v>264</v>
      </c>
      <c r="E74" s="353">
        <v>264</v>
      </c>
      <c r="F74" s="326">
        <v>264</v>
      </c>
      <c r="G74" s="325">
        <f t="shared" si="6"/>
        <v>343</v>
      </c>
      <c r="H74" s="353">
        <f t="shared" si="7"/>
        <v>343</v>
      </c>
      <c r="I74" s="326">
        <f t="shared" si="8"/>
        <v>343</v>
      </c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29"/>
      <c r="AU74" s="329"/>
      <c r="AV74" s="329"/>
      <c r="AW74" s="329"/>
      <c r="AX74" s="329"/>
      <c r="AY74" s="329"/>
    </row>
    <row r="75" spans="3:51" x14ac:dyDescent="0.25">
      <c r="C75" s="358">
        <f t="shared" si="5"/>
        <v>19</v>
      </c>
      <c r="D75" s="400">
        <v>282</v>
      </c>
      <c r="E75" s="368">
        <v>282</v>
      </c>
      <c r="F75" s="360">
        <v>282</v>
      </c>
      <c r="G75" s="359">
        <f t="shared" si="6"/>
        <v>366</v>
      </c>
      <c r="H75" s="368">
        <f t="shared" si="7"/>
        <v>366</v>
      </c>
      <c r="I75" s="360">
        <f t="shared" si="8"/>
        <v>366</v>
      </c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29"/>
      <c r="AX75" s="329"/>
      <c r="AY75" s="329"/>
    </row>
    <row r="76" spans="3:51" x14ac:dyDescent="0.25">
      <c r="C76" s="324">
        <f t="shared" si="5"/>
        <v>20</v>
      </c>
      <c r="D76" s="399">
        <v>293</v>
      </c>
      <c r="E76" s="353">
        <v>300</v>
      </c>
      <c r="F76" s="326">
        <v>306</v>
      </c>
      <c r="G76" s="325">
        <f t="shared" si="6"/>
        <v>380</v>
      </c>
      <c r="H76" s="353">
        <f t="shared" si="7"/>
        <v>390</v>
      </c>
      <c r="I76" s="326">
        <v>397</v>
      </c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29"/>
      <c r="AW76" s="329"/>
      <c r="AX76" s="329"/>
      <c r="AY76" s="329"/>
    </row>
    <row r="77" spans="3:51" x14ac:dyDescent="0.25">
      <c r="C77" s="358">
        <f t="shared" si="5"/>
        <v>21</v>
      </c>
      <c r="D77" s="400">
        <v>306</v>
      </c>
      <c r="E77" s="368">
        <v>318</v>
      </c>
      <c r="F77" s="360">
        <v>330</v>
      </c>
      <c r="G77" s="359">
        <v>396</v>
      </c>
      <c r="H77" s="368">
        <f t="shared" si="7"/>
        <v>413</v>
      </c>
      <c r="I77" s="360">
        <f t="shared" si="8"/>
        <v>429</v>
      </c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  <c r="AX77" s="329"/>
      <c r="AY77" s="329"/>
    </row>
    <row r="78" spans="3:51" x14ac:dyDescent="0.25">
      <c r="C78" s="324">
        <f t="shared" si="5"/>
        <v>22</v>
      </c>
      <c r="D78" s="399">
        <v>318</v>
      </c>
      <c r="E78" s="353">
        <v>336</v>
      </c>
      <c r="F78" s="326">
        <v>354</v>
      </c>
      <c r="G78" s="325">
        <v>412</v>
      </c>
      <c r="H78" s="353">
        <v>438</v>
      </c>
      <c r="I78" s="326">
        <f t="shared" si="8"/>
        <v>460</v>
      </c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  <c r="AO78" s="329"/>
      <c r="AP78" s="329"/>
      <c r="AQ78" s="329"/>
      <c r="AR78" s="329"/>
      <c r="AS78" s="329"/>
      <c r="AT78" s="329"/>
      <c r="AU78" s="329"/>
      <c r="AV78" s="329"/>
      <c r="AW78" s="329"/>
      <c r="AX78" s="329"/>
      <c r="AY78" s="329"/>
    </row>
    <row r="79" spans="3:51" x14ac:dyDescent="0.25">
      <c r="C79" s="358">
        <f t="shared" si="5"/>
        <v>23</v>
      </c>
      <c r="D79" s="400">
        <v>330</v>
      </c>
      <c r="E79" s="368">
        <v>356</v>
      </c>
      <c r="F79" s="360">
        <v>380</v>
      </c>
      <c r="G79" s="359">
        <v>428</v>
      </c>
      <c r="H79" s="368">
        <f t="shared" si="7"/>
        <v>462</v>
      </c>
      <c r="I79" s="360">
        <v>492</v>
      </c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  <c r="AR79" s="329"/>
      <c r="AS79" s="329"/>
      <c r="AT79" s="329"/>
      <c r="AU79" s="329"/>
      <c r="AV79" s="329"/>
      <c r="AW79" s="329"/>
      <c r="AX79" s="329"/>
      <c r="AY79" s="329"/>
    </row>
    <row r="80" spans="3:51" x14ac:dyDescent="0.25">
      <c r="C80" s="324">
        <f t="shared" si="5"/>
        <v>24</v>
      </c>
      <c r="D80" s="399">
        <v>342</v>
      </c>
      <c r="E80" s="353">
        <v>374</v>
      </c>
      <c r="F80" s="326">
        <v>404</v>
      </c>
      <c r="G80" s="325">
        <f t="shared" si="6"/>
        <v>444</v>
      </c>
      <c r="H80" s="353">
        <f t="shared" si="7"/>
        <v>486</v>
      </c>
      <c r="I80" s="326">
        <v>526</v>
      </c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329"/>
      <c r="AU80" s="329"/>
      <c r="AV80" s="329"/>
      <c r="AW80" s="329"/>
      <c r="AX80" s="329"/>
      <c r="AY80" s="329"/>
    </row>
    <row r="81" spans="3:51" x14ac:dyDescent="0.25">
      <c r="C81" s="358">
        <f t="shared" si="5"/>
        <v>25</v>
      </c>
      <c r="D81" s="400">
        <v>344</v>
      </c>
      <c r="E81" s="368">
        <v>394</v>
      </c>
      <c r="F81" s="360">
        <v>430</v>
      </c>
      <c r="G81" s="359">
        <v>462</v>
      </c>
      <c r="H81" s="368">
        <v>510</v>
      </c>
      <c r="I81" s="360">
        <v>560</v>
      </c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  <c r="AU81" s="329"/>
      <c r="AV81" s="329"/>
      <c r="AW81" s="329"/>
      <c r="AX81" s="329"/>
      <c r="AY81" s="329"/>
    </row>
    <row r="82" spans="3:51" x14ac:dyDescent="0.25">
      <c r="C82" s="324">
        <f t="shared" si="5"/>
        <v>26</v>
      </c>
      <c r="D82" s="399">
        <v>368</v>
      </c>
      <c r="E82" s="353">
        <v>412</v>
      </c>
      <c r="F82" s="326">
        <v>456</v>
      </c>
      <c r="G82" s="325">
        <f t="shared" si="6"/>
        <v>478</v>
      </c>
      <c r="H82" s="353">
        <v>536</v>
      </c>
      <c r="I82" s="326">
        <v>594</v>
      </c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29"/>
      <c r="AW82" s="329"/>
      <c r="AX82" s="329"/>
      <c r="AY82" s="329"/>
    </row>
    <row r="83" spans="3:51" x14ac:dyDescent="0.25">
      <c r="C83" s="358">
        <f t="shared" si="5"/>
        <v>27</v>
      </c>
      <c r="D83" s="400">
        <v>380</v>
      </c>
      <c r="E83" s="368">
        <v>432</v>
      </c>
      <c r="F83" s="360">
        <v>482</v>
      </c>
      <c r="G83" s="359">
        <f t="shared" si="6"/>
        <v>494</v>
      </c>
      <c r="H83" s="368">
        <v>562</v>
      </c>
      <c r="I83" s="360">
        <v>628</v>
      </c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29"/>
      <c r="AY83" s="329"/>
    </row>
    <row r="84" spans="3:51" x14ac:dyDescent="0.25">
      <c r="C84" s="324">
        <f t="shared" si="5"/>
        <v>28</v>
      </c>
      <c r="D84" s="399">
        <v>392</v>
      </c>
      <c r="E84" s="353">
        <v>452</v>
      </c>
      <c r="F84" s="326">
        <v>510</v>
      </c>
      <c r="G84" s="325">
        <v>510</v>
      </c>
      <c r="H84" s="353">
        <f t="shared" si="7"/>
        <v>587</v>
      </c>
      <c r="I84" s="326">
        <v>662</v>
      </c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29"/>
      <c r="AY84" s="329"/>
    </row>
    <row r="85" spans="3:51" x14ac:dyDescent="0.25">
      <c r="C85" s="358">
        <f t="shared" si="5"/>
        <v>29</v>
      </c>
      <c r="D85" s="400">
        <v>406</v>
      </c>
      <c r="E85" s="368">
        <v>472</v>
      </c>
      <c r="F85" s="360">
        <v>536</v>
      </c>
      <c r="G85" s="359">
        <v>526</v>
      </c>
      <c r="H85" s="368">
        <v>612</v>
      </c>
      <c r="I85" s="360">
        <v>698</v>
      </c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29"/>
      <c r="AT85" s="329"/>
      <c r="AU85" s="329"/>
      <c r="AV85" s="329"/>
      <c r="AW85" s="329"/>
      <c r="AX85" s="329"/>
      <c r="AY85" s="329"/>
    </row>
    <row r="86" spans="3:51" x14ac:dyDescent="0.25">
      <c r="C86" s="324">
        <f>C85+1</f>
        <v>30</v>
      </c>
      <c r="D86" s="399">
        <v>418</v>
      </c>
      <c r="E86" s="353">
        <v>492</v>
      </c>
      <c r="F86" s="326">
        <v>564</v>
      </c>
      <c r="G86" s="325">
        <v>544</v>
      </c>
      <c r="H86" s="353">
        <v>638</v>
      </c>
      <c r="I86" s="326">
        <v>732</v>
      </c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</row>
    <row r="87" spans="3:51" x14ac:dyDescent="0.25">
      <c r="C87" s="358">
        <f t="shared" si="5"/>
        <v>31</v>
      </c>
      <c r="D87" s="400">
        <v>430</v>
      </c>
      <c r="E87" s="368">
        <v>512</v>
      </c>
      <c r="F87" s="360">
        <v>592</v>
      </c>
      <c r="G87" s="359">
        <v>560</v>
      </c>
      <c r="H87" s="368">
        <v>664</v>
      </c>
      <c r="I87" s="360">
        <v>678</v>
      </c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/>
      <c r="AO87" s="329"/>
      <c r="AP87" s="329"/>
      <c r="AQ87" s="329"/>
      <c r="AR87" s="329"/>
      <c r="AS87" s="329"/>
      <c r="AT87" s="329"/>
      <c r="AU87" s="329"/>
      <c r="AV87" s="329"/>
      <c r="AW87" s="329"/>
      <c r="AX87" s="329"/>
      <c r="AY87" s="329"/>
    </row>
    <row r="88" spans="3:51" x14ac:dyDescent="0.25">
      <c r="C88" s="324">
        <f t="shared" si="5"/>
        <v>32</v>
      </c>
      <c r="D88" s="399">
        <v>444</v>
      </c>
      <c r="E88" s="353">
        <v>532</v>
      </c>
      <c r="F88" s="326">
        <v>620</v>
      </c>
      <c r="G88" s="325">
        <v>578</v>
      </c>
      <c r="H88" s="353">
        <v>692</v>
      </c>
      <c r="I88" s="326">
        <v>804</v>
      </c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29"/>
      <c r="AQ88" s="329"/>
      <c r="AR88" s="329"/>
      <c r="AS88" s="329"/>
      <c r="AT88" s="329"/>
      <c r="AU88" s="329"/>
      <c r="AV88" s="329"/>
      <c r="AW88" s="329"/>
      <c r="AX88" s="329"/>
      <c r="AY88" s="329"/>
    </row>
    <row r="89" spans="3:51" x14ac:dyDescent="0.25">
      <c r="C89" s="358">
        <f t="shared" si="5"/>
        <v>33</v>
      </c>
      <c r="D89" s="400">
        <v>456</v>
      </c>
      <c r="E89" s="368">
        <v>532</v>
      </c>
      <c r="F89" s="360">
        <v>648</v>
      </c>
      <c r="G89" s="359">
        <v>596</v>
      </c>
      <c r="H89" s="368">
        <v>718</v>
      </c>
      <c r="I89" s="360">
        <f t="shared" si="8"/>
        <v>842</v>
      </c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/>
      <c r="AO89" s="329"/>
      <c r="AP89" s="329"/>
      <c r="AQ89" s="329"/>
      <c r="AR89" s="329"/>
      <c r="AS89" s="329"/>
      <c r="AT89" s="329"/>
      <c r="AU89" s="329"/>
      <c r="AV89" s="329"/>
      <c r="AW89" s="329"/>
      <c r="AX89" s="329"/>
      <c r="AY89" s="329"/>
    </row>
    <row r="90" spans="3:51" x14ac:dyDescent="0.25">
      <c r="C90" s="324">
        <f t="shared" si="5"/>
        <v>34</v>
      </c>
      <c r="D90" s="399">
        <v>470</v>
      </c>
      <c r="E90" s="353">
        <v>572</v>
      </c>
      <c r="F90" s="326">
        <v>674</v>
      </c>
      <c r="G90" s="325">
        <v>610</v>
      </c>
      <c r="H90" s="353">
        <v>744</v>
      </c>
      <c r="I90" s="326">
        <v>878</v>
      </c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/>
      <c r="AO90" s="329"/>
      <c r="AP90" s="329"/>
      <c r="AQ90" s="329"/>
      <c r="AR90" s="329"/>
      <c r="AS90" s="329"/>
      <c r="AT90" s="329"/>
      <c r="AU90" s="329"/>
      <c r="AV90" s="329"/>
      <c r="AW90" s="329"/>
      <c r="AX90" s="329"/>
      <c r="AY90" s="329"/>
    </row>
    <row r="91" spans="3:51" x14ac:dyDescent="0.25">
      <c r="C91" s="358">
        <f t="shared" si="5"/>
        <v>35</v>
      </c>
      <c r="D91" s="400">
        <v>484</v>
      </c>
      <c r="E91" s="368">
        <v>596</v>
      </c>
      <c r="F91" s="360">
        <v>704</v>
      </c>
      <c r="G91" s="359">
        <v>628</v>
      </c>
      <c r="H91" s="368">
        <v>772</v>
      </c>
      <c r="I91" s="360">
        <v>916</v>
      </c>
      <c r="Y91" s="329"/>
      <c r="Z91" s="329"/>
      <c r="AA91" s="329"/>
      <c r="AB91" s="329"/>
      <c r="AC91" s="329"/>
      <c r="AD91" s="329"/>
      <c r="AE91" s="329"/>
      <c r="AF91" s="329"/>
      <c r="AG91" s="329"/>
      <c r="AH91" s="329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29"/>
      <c r="AX91" s="329"/>
      <c r="AY91" s="329"/>
    </row>
    <row r="92" spans="3:51" x14ac:dyDescent="0.25">
      <c r="C92" s="324">
        <f t="shared" si="5"/>
        <v>36</v>
      </c>
      <c r="D92" s="399">
        <v>496</v>
      </c>
      <c r="E92" s="353">
        <v>614</v>
      </c>
      <c r="F92" s="326">
        <v>734</v>
      </c>
      <c r="G92" s="325">
        <v>646</v>
      </c>
      <c r="H92" s="353">
        <f t="shared" si="7"/>
        <v>798</v>
      </c>
      <c r="I92" s="326">
        <f t="shared" si="8"/>
        <v>954</v>
      </c>
      <c r="Y92" s="329"/>
      <c r="Z92" s="329"/>
      <c r="AA92" s="329"/>
      <c r="AB92" s="329"/>
      <c r="AC92" s="329"/>
      <c r="AD92" s="329"/>
      <c r="AE92" s="329"/>
      <c r="AF92" s="329"/>
      <c r="AG92" s="329"/>
      <c r="AH92" s="329"/>
      <c r="AI92" s="329"/>
      <c r="AJ92" s="329"/>
      <c r="AK92" s="329"/>
      <c r="AL92" s="329"/>
      <c r="AM92" s="329"/>
      <c r="AN92" s="329"/>
      <c r="AO92" s="329"/>
      <c r="AP92" s="329"/>
      <c r="AQ92" s="329"/>
      <c r="AR92" s="329"/>
      <c r="AS92" s="329"/>
      <c r="AT92" s="329"/>
      <c r="AU92" s="329"/>
      <c r="AV92" s="329"/>
      <c r="AW92" s="329"/>
      <c r="AX92" s="329"/>
      <c r="AY92" s="329"/>
    </row>
    <row r="93" spans="3:51" x14ac:dyDescent="0.25">
      <c r="C93" s="358">
        <f t="shared" si="5"/>
        <v>37</v>
      </c>
      <c r="D93" s="400">
        <v>510</v>
      </c>
      <c r="E93" s="368">
        <v>636</v>
      </c>
      <c r="F93" s="360">
        <v>762</v>
      </c>
      <c r="G93" s="359">
        <v>662</v>
      </c>
      <c r="H93" s="368">
        <f t="shared" si="7"/>
        <v>826</v>
      </c>
      <c r="I93" s="360">
        <v>992</v>
      </c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29"/>
      <c r="AM93" s="329"/>
      <c r="AN93" s="329"/>
      <c r="AO93" s="329"/>
      <c r="AP93" s="329"/>
      <c r="AQ93" s="329"/>
      <c r="AR93" s="329"/>
      <c r="AS93" s="329"/>
      <c r="AT93" s="329"/>
      <c r="AU93" s="329"/>
      <c r="AV93" s="329"/>
      <c r="AW93" s="329"/>
      <c r="AX93" s="329"/>
      <c r="AY93" s="329"/>
    </row>
    <row r="94" spans="3:51" x14ac:dyDescent="0.25">
      <c r="C94" s="324">
        <f t="shared" si="5"/>
        <v>38</v>
      </c>
      <c r="D94" s="399">
        <v>522</v>
      </c>
      <c r="E94" s="353">
        <v>656</v>
      </c>
      <c r="F94" s="326">
        <v>792</v>
      </c>
      <c r="G94" s="325">
        <v>680</v>
      </c>
      <c r="H94" s="353">
        <v>854</v>
      </c>
      <c r="I94" s="326">
        <v>1030</v>
      </c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/>
      <c r="AO94" s="329"/>
      <c r="AP94" s="329"/>
      <c r="AQ94" s="329"/>
      <c r="AR94" s="329"/>
      <c r="AS94" s="329"/>
      <c r="AT94" s="329"/>
      <c r="AU94" s="329"/>
      <c r="AV94" s="329"/>
      <c r="AW94" s="329"/>
      <c r="AX94" s="329"/>
      <c r="AY94" s="329"/>
    </row>
    <row r="95" spans="3:51" x14ac:dyDescent="0.25">
      <c r="C95" s="358">
        <f t="shared" si="5"/>
        <v>39</v>
      </c>
      <c r="D95" s="400">
        <v>536</v>
      </c>
      <c r="E95" s="368">
        <v>678</v>
      </c>
      <c r="F95" s="360">
        <v>822</v>
      </c>
      <c r="G95" s="359">
        <f t="shared" si="6"/>
        <v>696</v>
      </c>
      <c r="H95" s="368">
        <v>882</v>
      </c>
      <c r="I95" s="360">
        <f t="shared" si="8"/>
        <v>1068</v>
      </c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  <c r="AO95" s="329"/>
      <c r="AP95" s="329"/>
      <c r="AQ95" s="329"/>
      <c r="AR95" s="329"/>
      <c r="AS95" s="329"/>
      <c r="AT95" s="329"/>
      <c r="AU95" s="329"/>
      <c r="AV95" s="329"/>
      <c r="AW95" s="329"/>
      <c r="AX95" s="329"/>
      <c r="AY95" s="329"/>
    </row>
    <row r="96" spans="3:51" ht="15.75" thickBot="1" x14ac:dyDescent="0.3">
      <c r="C96" s="330">
        <f t="shared" si="5"/>
        <v>40</v>
      </c>
      <c r="D96" s="401">
        <v>550</v>
      </c>
      <c r="E96" s="354">
        <v>700</v>
      </c>
      <c r="F96" s="328">
        <v>856</v>
      </c>
      <c r="G96" s="327">
        <v>714</v>
      </c>
      <c r="H96" s="354">
        <f t="shared" si="7"/>
        <v>910</v>
      </c>
      <c r="I96" s="328">
        <v>1108</v>
      </c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  <c r="AJ96" s="329"/>
      <c r="AK96" s="329"/>
      <c r="AL96" s="329"/>
      <c r="AM96" s="329"/>
      <c r="AN96" s="329"/>
      <c r="AO96" s="329"/>
      <c r="AP96" s="329"/>
      <c r="AQ96" s="329"/>
      <c r="AR96" s="329"/>
      <c r="AS96" s="329"/>
      <c r="AT96" s="329"/>
      <c r="AU96" s="329"/>
      <c r="AV96" s="329"/>
      <c r="AW96" s="329"/>
      <c r="AX96" s="329"/>
      <c r="AY96" s="329"/>
    </row>
    <row r="97" spans="25:51" x14ac:dyDescent="0.25"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29"/>
      <c r="AO97" s="329"/>
      <c r="AP97" s="329"/>
      <c r="AQ97" s="329"/>
      <c r="AR97" s="329"/>
      <c r="AS97" s="329"/>
      <c r="AT97" s="329"/>
      <c r="AU97" s="329"/>
      <c r="AV97" s="329"/>
      <c r="AW97" s="329"/>
      <c r="AX97" s="329"/>
      <c r="AY97" s="329"/>
    </row>
    <row r="98" spans="25:51" x14ac:dyDescent="0.25"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/>
      <c r="AO98" s="329"/>
      <c r="AP98" s="329"/>
      <c r="AQ98" s="329"/>
      <c r="AR98" s="329"/>
      <c r="AS98" s="329"/>
      <c r="AT98" s="329"/>
      <c r="AU98" s="329"/>
      <c r="AV98" s="329"/>
      <c r="AW98" s="329"/>
      <c r="AX98" s="329"/>
      <c r="AY98" s="329"/>
    </row>
    <row r="99" spans="25:51" x14ac:dyDescent="0.25"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/>
      <c r="AO99" s="329"/>
      <c r="AP99" s="329"/>
      <c r="AQ99" s="329"/>
      <c r="AR99" s="329"/>
      <c r="AS99" s="329"/>
      <c r="AT99" s="329"/>
      <c r="AU99" s="329"/>
      <c r="AV99" s="329"/>
      <c r="AW99" s="329"/>
      <c r="AX99" s="329"/>
      <c r="AY99" s="329"/>
    </row>
    <row r="100" spans="25:51" x14ac:dyDescent="0.25"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29"/>
      <c r="AO100" s="329"/>
      <c r="AP100" s="329"/>
      <c r="AQ100" s="329"/>
      <c r="AR100" s="329"/>
      <c r="AS100" s="329"/>
      <c r="AT100" s="329"/>
      <c r="AU100" s="329"/>
      <c r="AV100" s="329"/>
      <c r="AW100" s="329"/>
      <c r="AX100" s="329"/>
      <c r="AY100" s="329"/>
    </row>
    <row r="101" spans="25:51" x14ac:dyDescent="0.25">
      <c r="Y101" s="329"/>
      <c r="Z101" s="329"/>
      <c r="AA101" s="329"/>
      <c r="AB101" s="329"/>
      <c r="AC101" s="329"/>
      <c r="AD101" s="329"/>
      <c r="AE101" s="329"/>
      <c r="AF101" s="329"/>
      <c r="AG101" s="329"/>
      <c r="AH101" s="329"/>
      <c r="AI101" s="329"/>
      <c r="AJ101" s="329"/>
      <c r="AK101" s="329"/>
      <c r="AL101" s="329"/>
      <c r="AM101" s="329"/>
      <c r="AN101" s="329"/>
      <c r="AO101" s="329"/>
      <c r="AP101" s="329"/>
      <c r="AQ101" s="329"/>
      <c r="AR101" s="329"/>
      <c r="AS101" s="329"/>
      <c r="AT101" s="329"/>
      <c r="AU101" s="329"/>
      <c r="AV101" s="329"/>
      <c r="AW101" s="329"/>
      <c r="AX101" s="329"/>
      <c r="AY101" s="329"/>
    </row>
    <row r="102" spans="25:51" x14ac:dyDescent="0.25">
      <c r="Y102" s="329"/>
      <c r="Z102" s="329"/>
      <c r="AA102" s="329"/>
      <c r="AB102" s="329"/>
      <c r="AC102" s="329"/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/>
      <c r="AO102" s="329"/>
      <c r="AP102" s="329"/>
      <c r="AQ102" s="329"/>
      <c r="AR102" s="329"/>
      <c r="AS102" s="329"/>
      <c r="AT102" s="329"/>
      <c r="AU102" s="329"/>
      <c r="AV102" s="329"/>
      <c r="AW102" s="329"/>
      <c r="AX102" s="329"/>
      <c r="AY102" s="329"/>
    </row>
    <row r="103" spans="25:51" x14ac:dyDescent="0.25"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/>
      <c r="AO103" s="329"/>
      <c r="AP103" s="329"/>
      <c r="AQ103" s="329"/>
      <c r="AR103" s="329"/>
      <c r="AS103" s="329"/>
      <c r="AT103" s="329"/>
      <c r="AU103" s="329"/>
      <c r="AV103" s="329"/>
      <c r="AW103" s="329"/>
      <c r="AX103" s="329"/>
      <c r="AY103" s="329"/>
    </row>
    <row r="104" spans="25:51" x14ac:dyDescent="0.25"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29"/>
      <c r="AW104" s="329"/>
      <c r="AX104" s="329"/>
      <c r="AY104" s="329"/>
    </row>
    <row r="105" spans="25:51" x14ac:dyDescent="0.25"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  <c r="AO105" s="329"/>
      <c r="AP105" s="329"/>
      <c r="AQ105" s="329"/>
      <c r="AR105" s="329"/>
      <c r="AS105" s="329"/>
      <c r="AT105" s="329"/>
      <c r="AU105" s="329"/>
      <c r="AV105" s="329"/>
      <c r="AW105" s="329"/>
      <c r="AX105" s="329"/>
      <c r="AY105" s="329"/>
    </row>
    <row r="106" spans="25:51" x14ac:dyDescent="0.25"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/>
      <c r="AO106" s="329"/>
      <c r="AP106" s="329"/>
      <c r="AQ106" s="329"/>
      <c r="AR106" s="329"/>
      <c r="AS106" s="329"/>
      <c r="AT106" s="329"/>
      <c r="AU106" s="329"/>
      <c r="AV106" s="329"/>
      <c r="AW106" s="329"/>
      <c r="AX106" s="329"/>
      <c r="AY106" s="329"/>
    </row>
    <row r="107" spans="25:51" x14ac:dyDescent="0.25"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29"/>
      <c r="AX107" s="329"/>
      <c r="AY107" s="329"/>
    </row>
    <row r="108" spans="25:51" x14ac:dyDescent="0.25"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  <c r="AO108" s="329"/>
      <c r="AP108" s="329"/>
      <c r="AQ108" s="329"/>
      <c r="AR108" s="329"/>
      <c r="AS108" s="329"/>
      <c r="AT108" s="329"/>
      <c r="AU108" s="329"/>
      <c r="AV108" s="329"/>
      <c r="AW108" s="329"/>
      <c r="AX108" s="329"/>
      <c r="AY108" s="329"/>
    </row>
    <row r="109" spans="25:51" x14ac:dyDescent="0.25"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  <c r="AJ109" s="329"/>
      <c r="AK109" s="329"/>
      <c r="AL109" s="329"/>
      <c r="AM109" s="329"/>
      <c r="AN109" s="329"/>
      <c r="AO109" s="329"/>
      <c r="AP109" s="329"/>
      <c r="AQ109" s="329"/>
      <c r="AR109" s="329"/>
      <c r="AS109" s="329"/>
      <c r="AT109" s="329"/>
      <c r="AU109" s="329"/>
      <c r="AV109" s="329"/>
      <c r="AW109" s="329"/>
      <c r="AX109" s="329"/>
      <c r="AY109" s="329"/>
    </row>
    <row r="110" spans="25:51" x14ac:dyDescent="0.25"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29"/>
      <c r="AL110" s="329"/>
      <c r="AM110" s="329"/>
      <c r="AN110" s="329"/>
      <c r="AO110" s="329"/>
      <c r="AP110" s="329"/>
      <c r="AQ110" s="329"/>
      <c r="AR110" s="329"/>
      <c r="AS110" s="329"/>
      <c r="AT110" s="329"/>
      <c r="AU110" s="329"/>
      <c r="AV110" s="329"/>
      <c r="AW110" s="329"/>
      <c r="AX110" s="329"/>
      <c r="AY110" s="329"/>
    </row>
    <row r="111" spans="25:51" x14ac:dyDescent="0.25"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29"/>
      <c r="AP111" s="329"/>
      <c r="AQ111" s="329"/>
      <c r="AR111" s="329"/>
      <c r="AS111" s="329"/>
      <c r="AT111" s="329"/>
      <c r="AU111" s="329"/>
      <c r="AV111" s="329"/>
      <c r="AW111" s="329"/>
      <c r="AX111" s="329"/>
      <c r="AY111" s="329"/>
    </row>
    <row r="112" spans="25:51" x14ac:dyDescent="0.25"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29"/>
      <c r="AL112" s="329"/>
      <c r="AM112" s="329"/>
      <c r="AN112" s="329"/>
      <c r="AO112" s="329"/>
      <c r="AP112" s="329"/>
      <c r="AQ112" s="329"/>
      <c r="AR112" s="329"/>
      <c r="AS112" s="329"/>
      <c r="AT112" s="329"/>
      <c r="AU112" s="329"/>
      <c r="AV112" s="329"/>
      <c r="AW112" s="329"/>
      <c r="AX112" s="329"/>
      <c r="AY112" s="329"/>
    </row>
    <row r="113" spans="25:51" x14ac:dyDescent="0.25"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  <c r="AJ113" s="329"/>
      <c r="AK113" s="329"/>
      <c r="AL113" s="329"/>
      <c r="AM113" s="329"/>
      <c r="AN113" s="329"/>
      <c r="AO113" s="329"/>
      <c r="AP113" s="329"/>
      <c r="AQ113" s="329"/>
      <c r="AR113" s="329"/>
      <c r="AS113" s="329"/>
      <c r="AT113" s="329"/>
      <c r="AU113" s="329"/>
      <c r="AV113" s="329"/>
      <c r="AW113" s="329"/>
      <c r="AX113" s="329"/>
      <c r="AY113" s="329"/>
    </row>
    <row r="114" spans="25:51" x14ac:dyDescent="0.25"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  <c r="AI114" s="329"/>
      <c r="AJ114" s="329"/>
      <c r="AK114" s="329"/>
      <c r="AL114" s="329"/>
      <c r="AM114" s="329"/>
      <c r="AN114" s="329"/>
      <c r="AO114" s="329"/>
      <c r="AP114" s="329"/>
      <c r="AQ114" s="329"/>
      <c r="AR114" s="329"/>
      <c r="AS114" s="329"/>
      <c r="AT114" s="329"/>
      <c r="AU114" s="329"/>
      <c r="AV114" s="329"/>
      <c r="AW114" s="329"/>
      <c r="AX114" s="329"/>
      <c r="AY114" s="329"/>
    </row>
    <row r="115" spans="25:51" x14ac:dyDescent="0.25"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  <c r="AJ115" s="329"/>
      <c r="AK115" s="329"/>
      <c r="AL115" s="329"/>
      <c r="AM115" s="329"/>
      <c r="AN115" s="329"/>
      <c r="AO115" s="329"/>
      <c r="AP115" s="329"/>
      <c r="AQ115" s="329"/>
      <c r="AR115" s="329"/>
      <c r="AS115" s="329"/>
      <c r="AT115" s="329"/>
      <c r="AU115" s="329"/>
      <c r="AV115" s="329"/>
      <c r="AW115" s="329"/>
      <c r="AX115" s="329"/>
      <c r="AY115" s="329"/>
    </row>
    <row r="116" spans="25:51" x14ac:dyDescent="0.25"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/>
      <c r="AO116" s="329"/>
      <c r="AP116" s="329"/>
      <c r="AQ116" s="329"/>
      <c r="AR116" s="329"/>
      <c r="AS116" s="329"/>
      <c r="AT116" s="329"/>
      <c r="AU116" s="329"/>
      <c r="AV116" s="329"/>
      <c r="AW116" s="329"/>
      <c r="AX116" s="329"/>
      <c r="AY116" s="329"/>
    </row>
    <row r="117" spans="25:51" x14ac:dyDescent="0.25"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  <c r="AJ117" s="329"/>
      <c r="AK117" s="329"/>
      <c r="AL117" s="329"/>
      <c r="AM117" s="329"/>
      <c r="AN117" s="329"/>
      <c r="AO117" s="329"/>
      <c r="AP117" s="329"/>
      <c r="AQ117" s="329"/>
      <c r="AR117" s="329"/>
      <c r="AS117" s="329"/>
      <c r="AT117" s="329"/>
      <c r="AU117" s="329"/>
      <c r="AV117" s="329"/>
      <c r="AW117" s="329"/>
      <c r="AX117" s="329"/>
      <c r="AY117" s="329"/>
    </row>
    <row r="118" spans="25:51" x14ac:dyDescent="0.25"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/>
      <c r="AO118" s="329"/>
      <c r="AP118" s="329"/>
      <c r="AQ118" s="329"/>
      <c r="AR118" s="329"/>
      <c r="AS118" s="329"/>
      <c r="AT118" s="329"/>
      <c r="AU118" s="329"/>
      <c r="AV118" s="329"/>
      <c r="AW118" s="329"/>
      <c r="AX118" s="329"/>
      <c r="AY118" s="329"/>
    </row>
    <row r="119" spans="25:51" x14ac:dyDescent="0.25">
      <c r="Y119" s="329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/>
      <c r="AO119" s="329"/>
      <c r="AP119" s="329"/>
      <c r="AQ119" s="329"/>
      <c r="AR119" s="329"/>
      <c r="AS119" s="329"/>
      <c r="AT119" s="329"/>
      <c r="AU119" s="329"/>
      <c r="AV119" s="329"/>
      <c r="AW119" s="329"/>
      <c r="AX119" s="329"/>
      <c r="AY119" s="329"/>
    </row>
    <row r="120" spans="25:51" x14ac:dyDescent="0.25">
      <c r="Y120" s="32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  <c r="AJ120" s="329"/>
      <c r="AK120" s="329"/>
      <c r="AL120" s="329"/>
      <c r="AM120" s="329"/>
      <c r="AN120" s="329"/>
      <c r="AO120" s="329"/>
      <c r="AP120" s="329"/>
      <c r="AQ120" s="329"/>
      <c r="AR120" s="329"/>
      <c r="AS120" s="329"/>
      <c r="AT120" s="329"/>
      <c r="AU120" s="329"/>
      <c r="AV120" s="329"/>
      <c r="AW120" s="329"/>
      <c r="AX120" s="329"/>
      <c r="AY120" s="329"/>
    </row>
    <row r="121" spans="25:51" x14ac:dyDescent="0.25"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  <c r="AJ121" s="329"/>
      <c r="AK121" s="329"/>
      <c r="AL121" s="329"/>
      <c r="AM121" s="329"/>
      <c r="AN121" s="329"/>
      <c r="AO121" s="329"/>
      <c r="AP121" s="329"/>
      <c r="AQ121" s="329"/>
      <c r="AR121" s="329"/>
      <c r="AS121" s="329"/>
      <c r="AT121" s="329"/>
      <c r="AU121" s="329"/>
      <c r="AV121" s="329"/>
      <c r="AW121" s="329"/>
      <c r="AX121" s="329"/>
      <c r="AY121" s="329"/>
    </row>
    <row r="122" spans="25:51" x14ac:dyDescent="0.25"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  <c r="AO122" s="329"/>
      <c r="AP122" s="329"/>
      <c r="AQ122" s="329"/>
      <c r="AR122" s="329"/>
      <c r="AS122" s="329"/>
      <c r="AT122" s="329"/>
      <c r="AU122" s="329"/>
      <c r="AV122" s="329"/>
      <c r="AW122" s="329"/>
      <c r="AX122" s="329"/>
      <c r="AY122" s="329"/>
    </row>
    <row r="123" spans="25:51" x14ac:dyDescent="0.25"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29"/>
      <c r="AX123" s="329"/>
      <c r="AY123" s="329"/>
    </row>
  </sheetData>
  <sheetProtection sheet="1" objects="1" scenarios="1"/>
  <customSheetViews>
    <customSheetView guid="{754BBDAE-3FE2-41B7-9E16-92FAD5CD995A}" scale="60">
      <selection activeCell="J9" sqref="J9"/>
      <pageMargins left="0.7" right="0.7" top="0.75" bottom="0.75" header="0.3" footer="0.3"/>
      <pageSetup paperSize="9" orientation="portrait" r:id="rId1"/>
    </customSheetView>
  </customSheetViews>
  <mergeCells count="53">
    <mergeCell ref="K58:M58"/>
    <mergeCell ref="K61:M61"/>
    <mergeCell ref="K64:M64"/>
    <mergeCell ref="K67:M67"/>
    <mergeCell ref="K70:M70"/>
    <mergeCell ref="L7:M8"/>
    <mergeCell ref="D55:F55"/>
    <mergeCell ref="K55:M55"/>
    <mergeCell ref="S3:T3"/>
    <mergeCell ref="G55:I55"/>
    <mergeCell ref="S10:T10"/>
    <mergeCell ref="S11:S12"/>
    <mergeCell ref="T11:T12"/>
    <mergeCell ref="J11:J12"/>
    <mergeCell ref="K10:L10"/>
    <mergeCell ref="K11:K12"/>
    <mergeCell ref="L11:L12"/>
    <mergeCell ref="M10:N10"/>
    <mergeCell ref="M11:M12"/>
    <mergeCell ref="N11:N12"/>
    <mergeCell ref="D10:E10"/>
    <mergeCell ref="W10:X10"/>
    <mergeCell ref="W11:W12"/>
    <mergeCell ref="X11:X12"/>
    <mergeCell ref="Y10:Z10"/>
    <mergeCell ref="Y11:Y12"/>
    <mergeCell ref="Z11:Z12"/>
    <mergeCell ref="D11:D12"/>
    <mergeCell ref="E11:E12"/>
    <mergeCell ref="F11:F12"/>
    <mergeCell ref="G11:G12"/>
    <mergeCell ref="H11:H12"/>
    <mergeCell ref="AT25:AV25"/>
    <mergeCell ref="AQ25:AQ26"/>
    <mergeCell ref="AR25:AR26"/>
    <mergeCell ref="AW25:AW26"/>
    <mergeCell ref="F10:G10"/>
    <mergeCell ref="H10:I10"/>
    <mergeCell ref="I11:I12"/>
    <mergeCell ref="U10:V10"/>
    <mergeCell ref="U11:U12"/>
    <mergeCell ref="V11:V12"/>
    <mergeCell ref="O10:P10"/>
    <mergeCell ref="O11:O12"/>
    <mergeCell ref="P11:P12"/>
    <mergeCell ref="Q10:R10"/>
    <mergeCell ref="Q11:Q12"/>
    <mergeCell ref="R11:R12"/>
    <mergeCell ref="AB25:AE25"/>
    <mergeCell ref="AF25:AF26"/>
    <mergeCell ref="AH25:AK25"/>
    <mergeCell ref="AL25:AL26"/>
    <mergeCell ref="AN25:AP2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0"/>
  <sheetViews>
    <sheetView zoomScale="60" zoomScaleNormal="60" workbookViewId="0">
      <selection activeCell="N10" sqref="N10"/>
    </sheetView>
  </sheetViews>
  <sheetFormatPr baseColWidth="10" defaultRowHeight="15" x14ac:dyDescent="0.25"/>
  <cols>
    <col min="1" max="1" width="11.42578125" style="388"/>
    <col min="2" max="2" width="4.28515625" style="388" customWidth="1"/>
    <col min="3" max="6" width="11.42578125" style="388"/>
    <col min="7" max="7" width="12.140625" style="388" customWidth="1"/>
    <col min="8" max="8" width="33.85546875" style="388" customWidth="1"/>
    <col min="9" max="12" width="11.42578125" style="388"/>
    <col min="13" max="13" width="14" style="388" customWidth="1"/>
    <col min="14" max="20" width="11.42578125" style="388"/>
    <col min="21" max="21" width="6.7109375" style="388" customWidth="1"/>
    <col min="22" max="16384" width="11.42578125" style="388"/>
  </cols>
  <sheetData>
    <row r="1" spans="2:26" ht="15.75" thickBot="1" x14ac:dyDescent="0.3">
      <c r="O1" s="425"/>
      <c r="S1" s="425"/>
      <c r="T1" s="425"/>
      <c r="U1" s="425"/>
      <c r="V1" s="425"/>
      <c r="W1" s="425"/>
      <c r="X1" s="425"/>
      <c r="Y1" s="425"/>
      <c r="Z1" s="425"/>
    </row>
    <row r="2" spans="2:26" ht="16.5" thickTop="1" thickBot="1" x14ac:dyDescent="0.3">
      <c r="B2" s="447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9"/>
      <c r="U2" s="450"/>
      <c r="V2" s="425"/>
      <c r="X2" s="425"/>
      <c r="Y2" s="425"/>
      <c r="Z2" s="425"/>
    </row>
    <row r="3" spans="2:26" x14ac:dyDescent="0.25">
      <c r="B3" s="451"/>
      <c r="C3" s="329"/>
      <c r="D3" s="687" t="s">
        <v>155</v>
      </c>
      <c r="E3" s="693"/>
      <c r="F3" s="693"/>
      <c r="G3" s="688"/>
      <c r="H3" s="697" t="s">
        <v>181</v>
      </c>
      <c r="I3" s="687" t="s">
        <v>156</v>
      </c>
      <c r="J3" s="693"/>
      <c r="K3" s="693"/>
      <c r="L3" s="688"/>
      <c r="M3" s="687" t="s">
        <v>154</v>
      </c>
      <c r="N3" s="693"/>
      <c r="O3" s="688"/>
      <c r="P3" s="329"/>
      <c r="Q3" s="329"/>
      <c r="R3" s="329"/>
      <c r="S3" s="329"/>
      <c r="T3" s="329"/>
      <c r="U3" s="452"/>
    </row>
    <row r="4" spans="2:26" ht="15.75" thickBot="1" x14ac:dyDescent="0.3">
      <c r="B4" s="451"/>
      <c r="C4" s="329"/>
      <c r="D4" s="694"/>
      <c r="E4" s="695"/>
      <c r="F4" s="695"/>
      <c r="G4" s="696"/>
      <c r="H4" s="698"/>
      <c r="I4" s="694"/>
      <c r="J4" s="695"/>
      <c r="K4" s="695"/>
      <c r="L4" s="696"/>
      <c r="M4" s="699"/>
      <c r="N4" s="664"/>
      <c r="O4" s="700"/>
      <c r="P4" s="329"/>
      <c r="Q4" s="329"/>
      <c r="R4" s="329"/>
      <c r="S4" s="329"/>
      <c r="T4" s="329"/>
      <c r="U4" s="452"/>
    </row>
    <row r="5" spans="2:26" ht="15.75" thickBot="1" x14ac:dyDescent="0.3">
      <c r="B5" s="451"/>
      <c r="C5" s="427" t="s">
        <v>180</v>
      </c>
      <c r="D5" s="428" t="s">
        <v>177</v>
      </c>
      <c r="E5" s="343" t="s">
        <v>151</v>
      </c>
      <c r="F5" s="343" t="s">
        <v>152</v>
      </c>
      <c r="G5" s="344" t="s">
        <v>178</v>
      </c>
      <c r="H5" s="698"/>
      <c r="I5" s="396" t="s">
        <v>158</v>
      </c>
      <c r="J5" s="429" t="s">
        <v>151</v>
      </c>
      <c r="K5" s="429" t="s">
        <v>152</v>
      </c>
      <c r="L5" s="429" t="s">
        <v>153</v>
      </c>
      <c r="M5" s="347" t="s">
        <v>151</v>
      </c>
      <c r="N5" s="426" t="s">
        <v>152</v>
      </c>
      <c r="O5" s="348" t="s">
        <v>153</v>
      </c>
      <c r="P5" s="329"/>
      <c r="Q5" s="677" t="s">
        <v>157</v>
      </c>
      <c r="R5" s="683"/>
      <c r="S5" s="683"/>
      <c r="T5" s="678"/>
      <c r="U5" s="452"/>
    </row>
    <row r="6" spans="2:26" x14ac:dyDescent="0.25">
      <c r="B6" s="451"/>
      <c r="C6" s="358">
        <v>1</v>
      </c>
      <c r="D6" s="400">
        <f>0-IF(J6-M6&lt;0,1,0)-(1*TRUNC(M6/24,0))</f>
        <v>0</v>
      </c>
      <c r="E6" s="368">
        <f t="shared" ref="E6:E10" si="0">IF(J6-M6&lt;0,(TRUNC(M6/24,0)+1)*24+(J6-M6),J6-M6)-IF((IF(K6-N6&lt;0,60+K6-N6,K6-N6)-IF(L6-O6&lt;0,1,0))&lt;0,1,0)</f>
        <v>9</v>
      </c>
      <c r="F6" s="368">
        <f>IF((IF(K6-N6&lt;0,60+K6-N6,K6-N6)-IF(L6-O6&lt;0,1,0))&lt;0,60+(IF(K6-N6&lt;0,60+K6-N6,K6-N6)-IF(L6-O6&lt;0,1,0)),IF(K6-N6&lt;0,60+K6-N6,K6-N6)-IF(L6-O6&lt;0,1,0))</f>
        <v>38</v>
      </c>
      <c r="G6" s="441">
        <f>IF(L6-O6&lt;0,60+L6-O6,L6-O6)</f>
        <v>4</v>
      </c>
      <c r="H6" s="456" t="s">
        <v>182</v>
      </c>
      <c r="I6" s="438">
        <v>0</v>
      </c>
      <c r="J6" s="439">
        <v>10</v>
      </c>
      <c r="K6" s="439">
        <v>50</v>
      </c>
      <c r="L6" s="440">
        <v>0</v>
      </c>
      <c r="M6" s="438">
        <v>1</v>
      </c>
      <c r="N6" s="439">
        <v>11</v>
      </c>
      <c r="O6" s="442">
        <v>56</v>
      </c>
      <c r="P6" s="329"/>
      <c r="Q6" s="689"/>
      <c r="R6" s="690"/>
      <c r="S6" s="690"/>
      <c r="T6" s="691"/>
      <c r="U6" s="452"/>
    </row>
    <row r="7" spans="2:26" x14ac:dyDescent="0.25">
      <c r="B7" s="451"/>
      <c r="C7" s="324">
        <f>C6+1</f>
        <v>2</v>
      </c>
      <c r="D7" s="399">
        <f t="shared" ref="D7:D13" si="1">0-IF(J7-M7&lt;0,1,0)-(1*TRUNC(M7/24,0))</f>
        <v>-1</v>
      </c>
      <c r="E7" s="353">
        <f t="shared" si="0"/>
        <v>22</v>
      </c>
      <c r="F7" s="353">
        <f t="shared" ref="F7:F10" si="2">IF((IF(K7-N7&lt;0,60+K7-N7,K7-N7)-IF(L7-O7&lt;0,1,0))&lt;0,60+(IF(K7-N7&lt;0,60+K7-N7,K7-N7)-IF(L7-O7&lt;0,1,0)),IF(K7-N7&lt;0,60+K7-N7,K7-N7)-IF(L7-O7&lt;0,1,0))</f>
        <v>55</v>
      </c>
      <c r="G7" s="430">
        <f t="shared" ref="G7:G13" si="3">IF(L7-O7&lt;0,60+L7-O7,L7-O7)</f>
        <v>21</v>
      </c>
      <c r="H7" s="457" t="s">
        <v>183</v>
      </c>
      <c r="I7" s="325">
        <f t="shared" ref="I7:I13" si="4">I6+$Q$8+IF(J6+R$8&gt;23,ROUND((J6+R$8)/24,0),0)</f>
        <v>0</v>
      </c>
      <c r="J7" s="353">
        <f t="shared" ref="J7:J13" si="5">IF(J6+R$8&gt;23,24-J6-R$8,J6+R$8)+IF(K6+S$8&gt;59,ROUND((K6+S$8)/60,0),0)</f>
        <v>10</v>
      </c>
      <c r="K7" s="353">
        <f t="shared" ref="K7:K13" si="6">IF(K6+S$8&gt;59,K6+S$8-60,K6+S$8)+IF(L6+T$8&gt;59,ROUND((L6+T$8)/60,0),0)</f>
        <v>50</v>
      </c>
      <c r="L7" s="430">
        <f t="shared" ref="L7:L13" si="7">IF(L6+T$8&gt;59,L6+T$8-60,L6+T$8)</f>
        <v>3</v>
      </c>
      <c r="M7" s="432">
        <v>12</v>
      </c>
      <c r="N7" s="433">
        <v>54</v>
      </c>
      <c r="O7" s="434">
        <v>42</v>
      </c>
      <c r="P7" s="329"/>
      <c r="Q7" s="318" t="s">
        <v>177</v>
      </c>
      <c r="R7" s="316" t="s">
        <v>151</v>
      </c>
      <c r="S7" s="316" t="s">
        <v>152</v>
      </c>
      <c r="T7" s="317" t="s">
        <v>153</v>
      </c>
      <c r="U7" s="452"/>
    </row>
    <row r="8" spans="2:26" ht="15.75" thickBot="1" x14ac:dyDescent="0.3">
      <c r="B8" s="451"/>
      <c r="C8" s="358">
        <f t="shared" ref="C8:C24" si="8">C7+1</f>
        <v>3</v>
      </c>
      <c r="D8" s="400">
        <f t="shared" si="1"/>
        <v>0</v>
      </c>
      <c r="E8" s="368">
        <f t="shared" si="0"/>
        <v>10</v>
      </c>
      <c r="F8" s="368">
        <f t="shared" si="2"/>
        <v>50</v>
      </c>
      <c r="G8" s="441">
        <f t="shared" si="3"/>
        <v>6</v>
      </c>
      <c r="H8" s="458"/>
      <c r="I8" s="359">
        <f t="shared" si="4"/>
        <v>0</v>
      </c>
      <c r="J8" s="368">
        <f t="shared" si="5"/>
        <v>10</v>
      </c>
      <c r="K8" s="368">
        <f t="shared" si="6"/>
        <v>50</v>
      </c>
      <c r="L8" s="441">
        <f t="shared" si="7"/>
        <v>6</v>
      </c>
      <c r="M8" s="443"/>
      <c r="N8" s="444"/>
      <c r="O8" s="445"/>
      <c r="P8" s="329"/>
      <c r="Q8" s="463">
        <v>0</v>
      </c>
      <c r="R8" s="464">
        <v>0</v>
      </c>
      <c r="S8" s="464">
        <v>0</v>
      </c>
      <c r="T8" s="465">
        <v>3</v>
      </c>
      <c r="U8" s="452"/>
    </row>
    <row r="9" spans="2:26" x14ac:dyDescent="0.25">
      <c r="B9" s="451"/>
      <c r="C9" s="324">
        <f t="shared" si="8"/>
        <v>4</v>
      </c>
      <c r="D9" s="399">
        <f t="shared" si="1"/>
        <v>0</v>
      </c>
      <c r="E9" s="353">
        <f t="shared" si="0"/>
        <v>10</v>
      </c>
      <c r="F9" s="353">
        <f t="shared" si="2"/>
        <v>50</v>
      </c>
      <c r="G9" s="430">
        <f t="shared" si="3"/>
        <v>9</v>
      </c>
      <c r="H9" s="457"/>
      <c r="I9" s="325">
        <f t="shared" si="4"/>
        <v>0</v>
      </c>
      <c r="J9" s="353">
        <f t="shared" si="5"/>
        <v>10</v>
      </c>
      <c r="K9" s="353">
        <f t="shared" si="6"/>
        <v>50</v>
      </c>
      <c r="L9" s="430">
        <f t="shared" si="7"/>
        <v>9</v>
      </c>
      <c r="M9" s="432"/>
      <c r="N9" s="433"/>
      <c r="O9" s="434"/>
      <c r="P9" s="329"/>
      <c r="Q9" s="329"/>
      <c r="R9" s="329"/>
      <c r="S9" s="329"/>
      <c r="T9" s="329"/>
      <c r="U9" s="452"/>
    </row>
    <row r="10" spans="2:26" x14ac:dyDescent="0.25">
      <c r="B10" s="451"/>
      <c r="C10" s="358">
        <f t="shared" si="8"/>
        <v>5</v>
      </c>
      <c r="D10" s="400">
        <f t="shared" si="1"/>
        <v>0</v>
      </c>
      <c r="E10" s="368">
        <f t="shared" si="0"/>
        <v>10</v>
      </c>
      <c r="F10" s="368">
        <f t="shared" si="2"/>
        <v>50</v>
      </c>
      <c r="G10" s="441">
        <f t="shared" si="3"/>
        <v>12</v>
      </c>
      <c r="H10" s="458"/>
      <c r="I10" s="359">
        <f t="shared" si="4"/>
        <v>0</v>
      </c>
      <c r="J10" s="368">
        <f t="shared" si="5"/>
        <v>10</v>
      </c>
      <c r="K10" s="368">
        <f t="shared" si="6"/>
        <v>50</v>
      </c>
      <c r="L10" s="441">
        <f t="shared" si="7"/>
        <v>12</v>
      </c>
      <c r="M10" s="443"/>
      <c r="N10" s="444"/>
      <c r="O10" s="445"/>
      <c r="P10" s="329"/>
      <c r="Q10" s="329"/>
      <c r="R10" s="329"/>
      <c r="S10" s="329"/>
      <c r="T10" s="329"/>
      <c r="U10" s="452"/>
    </row>
    <row r="11" spans="2:26" x14ac:dyDescent="0.25">
      <c r="B11" s="451"/>
      <c r="C11" s="324">
        <f t="shared" si="8"/>
        <v>6</v>
      </c>
      <c r="D11" s="399">
        <f t="shared" si="1"/>
        <v>0</v>
      </c>
      <c r="E11" s="353">
        <f>IF(J11-M11&lt;0,(TRUNC(M11/24,0)+1)*24+(J11-M11),J11-M11)-IF((IF(K11-N11&lt;0,60+K11-N11,K11-N11)-IF(L11-O11&lt;0,1,0))&lt;0,1,0)</f>
        <v>10</v>
      </c>
      <c r="F11" s="353">
        <f>IF((IF(K11-N11&lt;0,60+K11-N11,K11-N11)-IF(L11-O11&lt;0,1,0))&lt;0,60+(IF(K11-N11&lt;0,60+K11-N11,K11-N11)-IF(L11-O11&lt;0,1,0)),IF(K11-N11&lt;0,60+K11-N11,K11-N11)-IF(L11-O11&lt;0,1,0))</f>
        <v>50</v>
      </c>
      <c r="G11" s="430">
        <f>IF(L11-O11&lt;0,60+L11-O11,L11-O11)</f>
        <v>15</v>
      </c>
      <c r="H11" s="457"/>
      <c r="I11" s="325">
        <f t="shared" si="4"/>
        <v>0</v>
      </c>
      <c r="J11" s="353">
        <f t="shared" si="5"/>
        <v>10</v>
      </c>
      <c r="K11" s="353">
        <f t="shared" si="6"/>
        <v>50</v>
      </c>
      <c r="L11" s="430">
        <f t="shared" si="7"/>
        <v>15</v>
      </c>
      <c r="M11" s="432"/>
      <c r="N11" s="433"/>
      <c r="O11" s="434"/>
      <c r="P11" s="329"/>
      <c r="Q11" s="692" t="s">
        <v>184</v>
      </c>
      <c r="R11" s="692"/>
      <c r="S11" s="692"/>
      <c r="T11" s="692"/>
      <c r="U11" s="452"/>
    </row>
    <row r="12" spans="2:26" x14ac:dyDescent="0.25">
      <c r="B12" s="451"/>
      <c r="C12" s="358">
        <f t="shared" si="8"/>
        <v>7</v>
      </c>
      <c r="D12" s="400">
        <f t="shared" si="1"/>
        <v>0</v>
      </c>
      <c r="E12" s="368">
        <f t="shared" ref="E12:E13" si="9">IF(J12-M12&lt;0,(TRUNC(M12/24,0)+1)*24+(J12-M12),J12-M12)-IF((IF(K12-N12&lt;0,60+K12-N12,K12-N12)-IF(L12-O12&lt;0,1,0))&lt;0,1,0)</f>
        <v>10</v>
      </c>
      <c r="F12" s="368">
        <f t="shared" ref="F12:F13" si="10">IF((IF(K12-N12&lt;0,60+K12-N12,K12-N12)-IF(L12-O12&lt;0,1,0))&lt;0,60+(IF(K12-N12&lt;0,60+K12-N12,K12-N12)-IF(L12-O12&lt;0,1,0)),IF(K12-N12&lt;0,60+K12-N12,K12-N12)-IF(L12-O12&lt;0,1,0))</f>
        <v>50</v>
      </c>
      <c r="G12" s="441">
        <f t="shared" si="3"/>
        <v>18</v>
      </c>
      <c r="H12" s="458"/>
      <c r="I12" s="359">
        <f t="shared" si="4"/>
        <v>0</v>
      </c>
      <c r="J12" s="368">
        <f t="shared" si="5"/>
        <v>10</v>
      </c>
      <c r="K12" s="368">
        <f t="shared" si="6"/>
        <v>50</v>
      </c>
      <c r="L12" s="441">
        <f t="shared" si="7"/>
        <v>18</v>
      </c>
      <c r="M12" s="443"/>
      <c r="N12" s="444"/>
      <c r="O12" s="445"/>
      <c r="P12" s="329"/>
      <c r="Q12" s="692"/>
      <c r="R12" s="692"/>
      <c r="S12" s="692"/>
      <c r="T12" s="692"/>
      <c r="U12" s="452"/>
    </row>
    <row r="13" spans="2:26" x14ac:dyDescent="0.25">
      <c r="B13" s="451"/>
      <c r="C13" s="324">
        <f t="shared" si="8"/>
        <v>8</v>
      </c>
      <c r="D13" s="399">
        <f t="shared" si="1"/>
        <v>0</v>
      </c>
      <c r="E13" s="353">
        <f t="shared" si="9"/>
        <v>10</v>
      </c>
      <c r="F13" s="353">
        <f t="shared" si="10"/>
        <v>50</v>
      </c>
      <c r="G13" s="430">
        <f t="shared" si="3"/>
        <v>21</v>
      </c>
      <c r="H13" s="457"/>
      <c r="I13" s="325">
        <f t="shared" si="4"/>
        <v>0</v>
      </c>
      <c r="J13" s="353">
        <f t="shared" si="5"/>
        <v>10</v>
      </c>
      <c r="K13" s="353">
        <f t="shared" si="6"/>
        <v>50</v>
      </c>
      <c r="L13" s="430">
        <f t="shared" si="7"/>
        <v>21</v>
      </c>
      <c r="M13" s="432"/>
      <c r="N13" s="433"/>
      <c r="O13" s="434"/>
      <c r="P13" s="329"/>
      <c r="Q13" s="692"/>
      <c r="R13" s="692"/>
      <c r="S13" s="692"/>
      <c r="T13" s="692"/>
      <c r="U13" s="452"/>
    </row>
    <row r="14" spans="2:26" x14ac:dyDescent="0.25">
      <c r="B14" s="451"/>
      <c r="C14" s="358">
        <f t="shared" si="8"/>
        <v>9</v>
      </c>
      <c r="D14" s="400">
        <f t="shared" ref="D14:D25" si="11">0-IF(J14-M14&lt;0,1,0)-(1*TRUNC(M14/24,0))</f>
        <v>0</v>
      </c>
      <c r="E14" s="368">
        <f t="shared" ref="E14:E25" si="12">IF(J14-M14&lt;0,(TRUNC(M14/24,0)+1)*24+(J14-M14),J14-M14)-IF((IF(K14-N14&lt;0,60+K14-N14,K14-N14)-IF(L14-O14&lt;0,1,0))&lt;0,1,0)</f>
        <v>10</v>
      </c>
      <c r="F14" s="368">
        <f t="shared" ref="F14:F25" si="13">IF((IF(K14-N14&lt;0,60+K14-N14,K14-N14)-IF(L14-O14&lt;0,1,0))&lt;0,60+(IF(K14-N14&lt;0,60+K14-N14,K14-N14)-IF(L14-O14&lt;0,1,0)),IF(K14-N14&lt;0,60+K14-N14,K14-N14)-IF(L14-O14&lt;0,1,0))</f>
        <v>50</v>
      </c>
      <c r="G14" s="441">
        <f t="shared" ref="G14:G25" si="14">IF(L14-O14&lt;0,60+L14-O14,L14-O14)</f>
        <v>24</v>
      </c>
      <c r="H14" s="458"/>
      <c r="I14" s="359">
        <f t="shared" ref="I14:I25" si="15">I13+$Q$8+IF(J13+R$8&gt;23,ROUND((J13+R$8)/24,0),0)</f>
        <v>0</v>
      </c>
      <c r="J14" s="368">
        <f t="shared" ref="J14:J25" si="16">IF(J13+R$8&gt;23,24-J13-R$8,J13+R$8)+IF(K13+S$8&gt;59,ROUND((K13+S$8)/60,0),0)</f>
        <v>10</v>
      </c>
      <c r="K14" s="368">
        <f t="shared" ref="K14:K25" si="17">IF(K13+S$8&gt;59,K13+S$8-60,K13+S$8)+IF(L13+T$8&gt;59,ROUND((L13+T$8)/60,0),0)</f>
        <v>50</v>
      </c>
      <c r="L14" s="441">
        <f t="shared" ref="L14:L25" si="18">IF(L13+T$8&gt;59,L13+T$8-60,L13+T$8)</f>
        <v>24</v>
      </c>
      <c r="M14" s="446"/>
      <c r="N14" s="444"/>
      <c r="O14" s="445"/>
      <c r="P14" s="329"/>
      <c r="Q14" s="692"/>
      <c r="R14" s="692"/>
      <c r="S14" s="692"/>
      <c r="T14" s="692"/>
      <c r="U14" s="452"/>
    </row>
    <row r="15" spans="2:26" x14ac:dyDescent="0.25">
      <c r="B15" s="451"/>
      <c r="C15" s="324">
        <f t="shared" si="8"/>
        <v>10</v>
      </c>
      <c r="D15" s="399">
        <f t="shared" si="11"/>
        <v>0</v>
      </c>
      <c r="E15" s="353">
        <f t="shared" si="12"/>
        <v>10</v>
      </c>
      <c r="F15" s="353">
        <f t="shared" si="13"/>
        <v>50</v>
      </c>
      <c r="G15" s="430">
        <f t="shared" si="14"/>
        <v>27</v>
      </c>
      <c r="H15" s="457"/>
      <c r="I15" s="325">
        <f t="shared" si="15"/>
        <v>0</v>
      </c>
      <c r="J15" s="353">
        <f t="shared" si="16"/>
        <v>10</v>
      </c>
      <c r="K15" s="353">
        <f t="shared" si="17"/>
        <v>50</v>
      </c>
      <c r="L15" s="430">
        <f t="shared" si="18"/>
        <v>27</v>
      </c>
      <c r="M15" s="432"/>
      <c r="N15" s="433"/>
      <c r="O15" s="434"/>
      <c r="P15" s="329"/>
      <c r="Q15" s="692"/>
      <c r="R15" s="692"/>
      <c r="S15" s="692"/>
      <c r="T15" s="692"/>
      <c r="U15" s="452"/>
    </row>
    <row r="16" spans="2:26" x14ac:dyDescent="0.25">
      <c r="B16" s="451"/>
      <c r="C16" s="358">
        <f t="shared" si="8"/>
        <v>11</v>
      </c>
      <c r="D16" s="400">
        <f t="shared" si="11"/>
        <v>0</v>
      </c>
      <c r="E16" s="368">
        <f t="shared" si="12"/>
        <v>10</v>
      </c>
      <c r="F16" s="368">
        <f t="shared" si="13"/>
        <v>50</v>
      </c>
      <c r="G16" s="441">
        <f t="shared" si="14"/>
        <v>30</v>
      </c>
      <c r="H16" s="458"/>
      <c r="I16" s="359">
        <f t="shared" si="15"/>
        <v>0</v>
      </c>
      <c r="J16" s="368">
        <f t="shared" si="16"/>
        <v>10</v>
      </c>
      <c r="K16" s="368">
        <f t="shared" si="17"/>
        <v>50</v>
      </c>
      <c r="L16" s="441">
        <f t="shared" si="18"/>
        <v>30</v>
      </c>
      <c r="M16" s="443"/>
      <c r="N16" s="444"/>
      <c r="O16" s="445"/>
      <c r="P16" s="329"/>
      <c r="Q16" s="692"/>
      <c r="R16" s="692"/>
      <c r="S16" s="692"/>
      <c r="T16" s="692"/>
      <c r="U16" s="452"/>
    </row>
    <row r="17" spans="2:21" x14ac:dyDescent="0.25">
      <c r="B17" s="451"/>
      <c r="C17" s="324">
        <f t="shared" si="8"/>
        <v>12</v>
      </c>
      <c r="D17" s="399">
        <f t="shared" si="11"/>
        <v>0</v>
      </c>
      <c r="E17" s="353">
        <f t="shared" si="12"/>
        <v>10</v>
      </c>
      <c r="F17" s="353">
        <f t="shared" si="13"/>
        <v>50</v>
      </c>
      <c r="G17" s="430">
        <f t="shared" si="14"/>
        <v>33</v>
      </c>
      <c r="H17" s="457"/>
      <c r="I17" s="325">
        <f t="shared" si="15"/>
        <v>0</v>
      </c>
      <c r="J17" s="353">
        <f t="shared" si="16"/>
        <v>10</v>
      </c>
      <c r="K17" s="353">
        <f t="shared" si="17"/>
        <v>50</v>
      </c>
      <c r="L17" s="430">
        <f t="shared" si="18"/>
        <v>33</v>
      </c>
      <c r="M17" s="432"/>
      <c r="N17" s="433"/>
      <c r="O17" s="434"/>
      <c r="P17" s="329"/>
      <c r="Q17" s="692"/>
      <c r="R17" s="692"/>
      <c r="S17" s="692"/>
      <c r="T17" s="692"/>
      <c r="U17" s="452"/>
    </row>
    <row r="18" spans="2:21" x14ac:dyDescent="0.25">
      <c r="B18" s="451"/>
      <c r="C18" s="358">
        <f t="shared" si="8"/>
        <v>13</v>
      </c>
      <c r="D18" s="400">
        <f t="shared" si="11"/>
        <v>0</v>
      </c>
      <c r="E18" s="368">
        <f t="shared" si="12"/>
        <v>10</v>
      </c>
      <c r="F18" s="368">
        <f t="shared" si="13"/>
        <v>50</v>
      </c>
      <c r="G18" s="441">
        <f t="shared" si="14"/>
        <v>36</v>
      </c>
      <c r="H18" s="458"/>
      <c r="I18" s="359">
        <f t="shared" si="15"/>
        <v>0</v>
      </c>
      <c r="J18" s="368">
        <f t="shared" si="16"/>
        <v>10</v>
      </c>
      <c r="K18" s="368">
        <f t="shared" si="17"/>
        <v>50</v>
      </c>
      <c r="L18" s="441">
        <f t="shared" si="18"/>
        <v>36</v>
      </c>
      <c r="M18" s="443"/>
      <c r="N18" s="444"/>
      <c r="O18" s="445"/>
      <c r="P18" s="329"/>
      <c r="Q18" s="692"/>
      <c r="R18" s="692"/>
      <c r="S18" s="692"/>
      <c r="T18" s="692"/>
      <c r="U18" s="452"/>
    </row>
    <row r="19" spans="2:21" x14ac:dyDescent="0.25">
      <c r="B19" s="451"/>
      <c r="C19" s="324">
        <f t="shared" si="8"/>
        <v>14</v>
      </c>
      <c r="D19" s="399">
        <f t="shared" si="11"/>
        <v>0</v>
      </c>
      <c r="E19" s="353">
        <f t="shared" si="12"/>
        <v>10</v>
      </c>
      <c r="F19" s="353">
        <f t="shared" si="13"/>
        <v>50</v>
      </c>
      <c r="G19" s="430">
        <f t="shared" si="14"/>
        <v>39</v>
      </c>
      <c r="H19" s="457"/>
      <c r="I19" s="325">
        <f t="shared" si="15"/>
        <v>0</v>
      </c>
      <c r="J19" s="353">
        <f t="shared" si="16"/>
        <v>10</v>
      </c>
      <c r="K19" s="353">
        <f t="shared" si="17"/>
        <v>50</v>
      </c>
      <c r="L19" s="430">
        <f t="shared" si="18"/>
        <v>39</v>
      </c>
      <c r="M19" s="432"/>
      <c r="N19" s="433"/>
      <c r="O19" s="434"/>
      <c r="P19" s="329"/>
      <c r="Q19" s="692"/>
      <c r="R19" s="692"/>
      <c r="S19" s="692"/>
      <c r="T19" s="692"/>
      <c r="U19" s="452"/>
    </row>
    <row r="20" spans="2:21" x14ac:dyDescent="0.25">
      <c r="B20" s="451"/>
      <c r="C20" s="358">
        <f t="shared" si="8"/>
        <v>15</v>
      </c>
      <c r="D20" s="400">
        <f t="shared" si="11"/>
        <v>0</v>
      </c>
      <c r="E20" s="368">
        <f t="shared" si="12"/>
        <v>10</v>
      </c>
      <c r="F20" s="368">
        <f t="shared" si="13"/>
        <v>50</v>
      </c>
      <c r="G20" s="441">
        <f t="shared" si="14"/>
        <v>42</v>
      </c>
      <c r="H20" s="458"/>
      <c r="I20" s="359">
        <f t="shared" si="15"/>
        <v>0</v>
      </c>
      <c r="J20" s="368">
        <f t="shared" si="16"/>
        <v>10</v>
      </c>
      <c r="K20" s="368">
        <f t="shared" si="17"/>
        <v>50</v>
      </c>
      <c r="L20" s="441">
        <f t="shared" si="18"/>
        <v>42</v>
      </c>
      <c r="M20" s="443"/>
      <c r="N20" s="444"/>
      <c r="O20" s="445"/>
      <c r="P20" s="329"/>
      <c r="Q20" s="692"/>
      <c r="R20" s="692"/>
      <c r="S20" s="692"/>
      <c r="T20" s="692"/>
      <c r="U20" s="452"/>
    </row>
    <row r="21" spans="2:21" x14ac:dyDescent="0.25">
      <c r="B21" s="451"/>
      <c r="C21" s="324">
        <f t="shared" si="8"/>
        <v>16</v>
      </c>
      <c r="D21" s="399">
        <f t="shared" si="11"/>
        <v>0</v>
      </c>
      <c r="E21" s="353">
        <f t="shared" si="12"/>
        <v>10</v>
      </c>
      <c r="F21" s="353">
        <f t="shared" si="13"/>
        <v>50</v>
      </c>
      <c r="G21" s="430">
        <f t="shared" si="14"/>
        <v>45</v>
      </c>
      <c r="H21" s="457"/>
      <c r="I21" s="325">
        <f t="shared" si="15"/>
        <v>0</v>
      </c>
      <c r="J21" s="353">
        <f t="shared" si="16"/>
        <v>10</v>
      </c>
      <c r="K21" s="353">
        <f t="shared" si="17"/>
        <v>50</v>
      </c>
      <c r="L21" s="430">
        <f t="shared" si="18"/>
        <v>45</v>
      </c>
      <c r="M21" s="432"/>
      <c r="N21" s="433"/>
      <c r="O21" s="434"/>
      <c r="P21" s="329"/>
      <c r="Q21" s="692"/>
      <c r="R21" s="692"/>
      <c r="S21" s="692"/>
      <c r="T21" s="692"/>
      <c r="U21" s="452"/>
    </row>
    <row r="22" spans="2:21" x14ac:dyDescent="0.25">
      <c r="B22" s="451"/>
      <c r="C22" s="358">
        <f>C21+1</f>
        <v>17</v>
      </c>
      <c r="D22" s="400">
        <f t="shared" si="11"/>
        <v>0</v>
      </c>
      <c r="E22" s="368">
        <f t="shared" si="12"/>
        <v>10</v>
      </c>
      <c r="F22" s="368">
        <f t="shared" si="13"/>
        <v>50</v>
      </c>
      <c r="G22" s="441">
        <f t="shared" si="14"/>
        <v>48</v>
      </c>
      <c r="H22" s="458"/>
      <c r="I22" s="359">
        <f t="shared" si="15"/>
        <v>0</v>
      </c>
      <c r="J22" s="368">
        <f t="shared" si="16"/>
        <v>10</v>
      </c>
      <c r="K22" s="368">
        <f t="shared" si="17"/>
        <v>50</v>
      </c>
      <c r="L22" s="441">
        <f t="shared" si="18"/>
        <v>48</v>
      </c>
      <c r="M22" s="443"/>
      <c r="N22" s="444"/>
      <c r="O22" s="445"/>
      <c r="P22" s="329"/>
      <c r="Q22" s="692"/>
      <c r="R22" s="692"/>
      <c r="S22" s="692"/>
      <c r="T22" s="692"/>
      <c r="U22" s="452"/>
    </row>
    <row r="23" spans="2:21" x14ac:dyDescent="0.25">
      <c r="B23" s="451"/>
      <c r="C23" s="324">
        <f t="shared" si="8"/>
        <v>18</v>
      </c>
      <c r="D23" s="399">
        <f t="shared" si="11"/>
        <v>0</v>
      </c>
      <c r="E23" s="353">
        <f t="shared" si="12"/>
        <v>10</v>
      </c>
      <c r="F23" s="353">
        <f t="shared" si="13"/>
        <v>50</v>
      </c>
      <c r="G23" s="430">
        <f t="shared" si="14"/>
        <v>51</v>
      </c>
      <c r="H23" s="457"/>
      <c r="I23" s="325">
        <f t="shared" si="15"/>
        <v>0</v>
      </c>
      <c r="J23" s="353">
        <f t="shared" si="16"/>
        <v>10</v>
      </c>
      <c r="K23" s="353">
        <f t="shared" si="17"/>
        <v>50</v>
      </c>
      <c r="L23" s="430">
        <f t="shared" si="18"/>
        <v>51</v>
      </c>
      <c r="M23" s="432"/>
      <c r="N23" s="433"/>
      <c r="O23" s="434"/>
      <c r="P23" s="329"/>
      <c r="Q23" s="692"/>
      <c r="R23" s="692"/>
      <c r="S23" s="692"/>
      <c r="T23" s="692"/>
      <c r="U23" s="452"/>
    </row>
    <row r="24" spans="2:21" x14ac:dyDescent="0.25">
      <c r="B24" s="451"/>
      <c r="C24" s="358">
        <f t="shared" si="8"/>
        <v>19</v>
      </c>
      <c r="D24" s="400">
        <f t="shared" si="11"/>
        <v>0</v>
      </c>
      <c r="E24" s="368">
        <f t="shared" si="12"/>
        <v>10</v>
      </c>
      <c r="F24" s="368">
        <f t="shared" si="13"/>
        <v>50</v>
      </c>
      <c r="G24" s="441">
        <f t="shared" si="14"/>
        <v>54</v>
      </c>
      <c r="H24" s="458"/>
      <c r="I24" s="359">
        <f t="shared" si="15"/>
        <v>0</v>
      </c>
      <c r="J24" s="368">
        <f t="shared" si="16"/>
        <v>10</v>
      </c>
      <c r="K24" s="368">
        <f t="shared" si="17"/>
        <v>50</v>
      </c>
      <c r="L24" s="441">
        <f t="shared" si="18"/>
        <v>54</v>
      </c>
      <c r="M24" s="443"/>
      <c r="N24" s="444"/>
      <c r="O24" s="445"/>
      <c r="P24" s="329"/>
      <c r="Q24" s="329"/>
      <c r="R24" s="329"/>
      <c r="S24" s="329"/>
      <c r="T24" s="329"/>
      <c r="U24" s="452"/>
    </row>
    <row r="25" spans="2:21" ht="15.75" thickBot="1" x14ac:dyDescent="0.3">
      <c r="B25" s="451"/>
      <c r="C25" s="330">
        <f>C24+1</f>
        <v>20</v>
      </c>
      <c r="D25" s="401">
        <f t="shared" si="11"/>
        <v>0</v>
      </c>
      <c r="E25" s="354">
        <f t="shared" si="12"/>
        <v>10</v>
      </c>
      <c r="F25" s="354">
        <f t="shared" si="13"/>
        <v>50</v>
      </c>
      <c r="G25" s="431">
        <f t="shared" si="14"/>
        <v>57</v>
      </c>
      <c r="H25" s="459"/>
      <c r="I25" s="327">
        <f t="shared" si="15"/>
        <v>0</v>
      </c>
      <c r="J25" s="354">
        <f t="shared" si="16"/>
        <v>10</v>
      </c>
      <c r="K25" s="354">
        <f t="shared" si="17"/>
        <v>50</v>
      </c>
      <c r="L25" s="328">
        <f t="shared" si="18"/>
        <v>57</v>
      </c>
      <c r="M25" s="435"/>
      <c r="N25" s="436"/>
      <c r="O25" s="437"/>
      <c r="P25" s="329"/>
      <c r="Q25" s="329"/>
      <c r="R25" s="329"/>
      <c r="S25" s="329"/>
      <c r="T25" s="329"/>
      <c r="U25" s="452"/>
    </row>
    <row r="26" spans="2:21" ht="15.75" thickBot="1" x14ac:dyDescent="0.3">
      <c r="B26" s="453"/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5"/>
    </row>
    <row r="27" spans="2:21" ht="15.75" thickTop="1" x14ac:dyDescent="0.25"/>
    <row r="30" spans="2:21" x14ac:dyDescent="0.25">
      <c r="G30" s="388" t="s">
        <v>188</v>
      </c>
    </row>
  </sheetData>
  <sheetProtection sheet="1" objects="1" scenarios="1"/>
  <customSheetViews>
    <customSheetView guid="{754BBDAE-3FE2-41B7-9E16-92FAD5CD995A}" scale="60">
      <selection activeCell="E8" sqref="E8"/>
      <pageMargins left="0.7" right="0.7" top="0.75" bottom="0.75" header="0.3" footer="0.3"/>
    </customSheetView>
  </customSheetViews>
  <mergeCells count="6">
    <mergeCell ref="Q11:T23"/>
    <mergeCell ref="Q5:T6"/>
    <mergeCell ref="D3:G4"/>
    <mergeCell ref="H3:H5"/>
    <mergeCell ref="I3:L4"/>
    <mergeCell ref="M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Attaque au sol</vt:lpstr>
      <vt:lpstr>Attaque maritime</vt:lpstr>
      <vt:lpstr>Caracteristiques Batiments</vt:lpstr>
      <vt:lpstr>Attaques coordonnées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calculateur grepolis v2.2 custom by Fredy</dc:title>
  <dc:subject>Grepolis Calculateur Combats</dc:subject>
  <dc:creator>xstazy</dc:creator>
  <cp:keywords>Grepolis, jeu, juegos, batallas, combats</cp:keywords>
  <dc:description>Custom by Fredy alias -Lanza-</dc:description>
  <cp:lastModifiedBy>Julien</cp:lastModifiedBy>
  <cp:lastPrinted>2010-06-16T14:21:12Z</cp:lastPrinted>
  <dcterms:created xsi:type="dcterms:W3CDTF">2010-05-30T09:30:39Z</dcterms:created>
  <dcterms:modified xsi:type="dcterms:W3CDTF">2014-05-01T15:28:47Z</dcterms:modified>
  <cp:category>Herramientas</cp:category>
</cp:coreProperties>
</file>