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0" yWindow="0" windowWidth="25600" windowHeight="16060"/>
  </bookViews>
  <sheets>
    <sheet name="Optimisation du Stuff" sheetId="1" r:id="rId1"/>
    <sheet name="Optimisation des Buff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1" l="1"/>
  <c r="O6" i="1"/>
  <c r="O5" i="1"/>
  <c r="O4" i="1"/>
  <c r="O3" i="1"/>
  <c r="O2" i="1"/>
  <c r="B10" i="2"/>
  <c r="F10" i="2"/>
  <c r="G10" i="2"/>
  <c r="H10" i="2"/>
  <c r="C20" i="2"/>
  <c r="C46" i="2"/>
  <c r="B11" i="2"/>
  <c r="F11" i="2"/>
  <c r="G11" i="2"/>
  <c r="H11" i="2"/>
  <c r="C19" i="2"/>
  <c r="C45" i="2"/>
  <c r="B9" i="2"/>
  <c r="F9" i="2"/>
  <c r="G9" i="2"/>
  <c r="H9" i="2"/>
  <c r="C18" i="2"/>
  <c r="C44" i="2"/>
  <c r="B7" i="2"/>
  <c r="F7" i="2"/>
  <c r="G7" i="2"/>
  <c r="H7" i="2"/>
  <c r="B20" i="2"/>
  <c r="B46" i="2"/>
  <c r="B8" i="2"/>
  <c r="F8" i="2"/>
  <c r="G8" i="2"/>
  <c r="H8" i="2"/>
  <c r="B19" i="2"/>
  <c r="B45" i="2"/>
  <c r="B6" i="2"/>
  <c r="F6" i="2"/>
  <c r="G6" i="2"/>
  <c r="H6" i="2"/>
  <c r="B18" i="2"/>
  <c r="B44" i="2"/>
  <c r="C40" i="2"/>
  <c r="C41" i="2"/>
  <c r="C42" i="2"/>
  <c r="B42" i="2"/>
  <c r="B41" i="2"/>
  <c r="B40" i="2"/>
  <c r="M6" i="1"/>
  <c r="M5" i="1"/>
  <c r="M4" i="1"/>
  <c r="M3" i="1"/>
  <c r="M2" i="1"/>
  <c r="M7" i="1"/>
  <c r="K2" i="1"/>
  <c r="Q7" i="1"/>
  <c r="Q6" i="1"/>
  <c r="Q5" i="1"/>
  <c r="Q4" i="1"/>
  <c r="Q3" i="1"/>
  <c r="Q2" i="1"/>
  <c r="L2" i="1"/>
  <c r="F2" i="2"/>
  <c r="G2" i="2"/>
  <c r="I2" i="1"/>
  <c r="Q11" i="1"/>
  <c r="M11" i="1"/>
  <c r="H2" i="2"/>
  <c r="F4" i="2"/>
  <c r="G4" i="2"/>
  <c r="Q13" i="1"/>
  <c r="M13" i="1"/>
  <c r="H4" i="2"/>
  <c r="I2" i="2"/>
  <c r="F3" i="2"/>
  <c r="G3" i="2"/>
  <c r="Q12" i="1"/>
  <c r="M12" i="1"/>
  <c r="H3" i="2"/>
  <c r="I3" i="2"/>
  <c r="B4" i="2"/>
  <c r="B3" i="2"/>
  <c r="B2" i="2"/>
  <c r="O12" i="1"/>
  <c r="O11" i="1"/>
  <c r="O13" i="1"/>
  <c r="K3" i="1"/>
  <c r="L3" i="1"/>
  <c r="E20" i="2"/>
  <c r="E18" i="2"/>
  <c r="D20" i="2"/>
  <c r="D19" i="2"/>
  <c r="D18" i="2"/>
  <c r="G4" i="1"/>
  <c r="G8" i="1"/>
  <c r="G12" i="1"/>
  <c r="G16" i="1"/>
  <c r="G20" i="1"/>
  <c r="G24" i="1"/>
  <c r="G27" i="1"/>
  <c r="G30" i="1"/>
  <c r="G33" i="1"/>
  <c r="G36" i="1"/>
  <c r="G39" i="1"/>
  <c r="G42" i="1"/>
  <c r="G45" i="1"/>
  <c r="G2" i="1"/>
  <c r="H4" i="1"/>
  <c r="H8" i="1"/>
  <c r="H12" i="1"/>
  <c r="H16" i="1"/>
  <c r="H20" i="1"/>
  <c r="H24" i="1"/>
  <c r="H27" i="1"/>
  <c r="H30" i="1"/>
  <c r="H33" i="1"/>
  <c r="H36" i="1"/>
  <c r="H39" i="1"/>
  <c r="H42" i="1"/>
  <c r="H45" i="1"/>
  <c r="H2" i="1"/>
  <c r="P2" i="1"/>
  <c r="J4" i="1"/>
  <c r="J8" i="1"/>
  <c r="J12" i="1"/>
  <c r="J16" i="1"/>
  <c r="J20" i="1"/>
  <c r="J24" i="1"/>
  <c r="J27" i="1"/>
  <c r="J30" i="1"/>
  <c r="J33" i="1"/>
  <c r="J36" i="1"/>
  <c r="J39" i="1"/>
  <c r="J42" i="1"/>
  <c r="J45" i="1"/>
  <c r="J2" i="1"/>
  <c r="R4" i="1"/>
  <c r="R3" i="1"/>
  <c r="R2" i="1"/>
  <c r="R7" i="1"/>
  <c r="R6" i="1"/>
  <c r="R5" i="1"/>
  <c r="I4" i="1"/>
  <c r="I8" i="1"/>
  <c r="I12" i="1"/>
  <c r="I16" i="1"/>
  <c r="I20" i="1"/>
  <c r="I24" i="1"/>
  <c r="I27" i="1"/>
  <c r="I30" i="1"/>
  <c r="I33" i="1"/>
  <c r="I36" i="1"/>
  <c r="I39" i="1"/>
  <c r="I42" i="1"/>
  <c r="I45" i="1"/>
  <c r="K4" i="1"/>
  <c r="K8" i="1"/>
  <c r="K12" i="1"/>
  <c r="K16" i="1"/>
  <c r="K20" i="1"/>
  <c r="K24" i="1"/>
  <c r="K27" i="1"/>
  <c r="K30" i="1"/>
  <c r="K33" i="1"/>
  <c r="K36" i="1"/>
  <c r="K39" i="1"/>
  <c r="K42" i="1"/>
  <c r="K45" i="1"/>
  <c r="D2" i="1"/>
  <c r="C2" i="1"/>
  <c r="B2" i="1"/>
  <c r="A46" i="1"/>
  <c r="C44" i="1"/>
  <c r="C43" i="1"/>
  <c r="D43" i="1"/>
  <c r="C42" i="1"/>
  <c r="D42" i="1"/>
  <c r="C41" i="1"/>
  <c r="C40" i="1"/>
  <c r="D40" i="1"/>
  <c r="C39" i="1"/>
  <c r="D39" i="1"/>
  <c r="C38" i="1"/>
  <c r="C37" i="1"/>
  <c r="D38" i="1"/>
  <c r="C36" i="1"/>
  <c r="D36" i="1"/>
  <c r="C35" i="1"/>
  <c r="C34" i="1"/>
  <c r="D35" i="1"/>
  <c r="C33" i="1"/>
  <c r="D33" i="1"/>
  <c r="C32" i="1"/>
  <c r="C31" i="1"/>
  <c r="D31" i="1"/>
  <c r="C30" i="1"/>
  <c r="D30" i="1"/>
  <c r="C29" i="1"/>
  <c r="C28" i="1"/>
  <c r="D28" i="1"/>
  <c r="C27" i="1"/>
  <c r="D27" i="1"/>
  <c r="C26" i="1"/>
  <c r="C25" i="1"/>
  <c r="D26" i="1"/>
  <c r="C24" i="1"/>
  <c r="D24" i="1"/>
  <c r="C22" i="1"/>
  <c r="C21" i="1"/>
  <c r="D22" i="1"/>
  <c r="C20" i="1"/>
  <c r="D20" i="1"/>
  <c r="C18" i="1"/>
  <c r="C17" i="1"/>
  <c r="D17" i="1"/>
  <c r="C16" i="1"/>
  <c r="D16" i="1"/>
  <c r="C14" i="1"/>
  <c r="C13" i="1"/>
  <c r="D13" i="1"/>
  <c r="C12" i="1"/>
  <c r="D12" i="1"/>
  <c r="C10" i="1"/>
  <c r="C9" i="1"/>
  <c r="D10" i="1"/>
  <c r="C8" i="1"/>
  <c r="D8" i="1"/>
  <c r="C6" i="1"/>
  <c r="C5" i="1"/>
  <c r="D6" i="1"/>
  <c r="C4" i="1"/>
  <c r="D4" i="1"/>
  <c r="A43" i="1"/>
  <c r="A40" i="1"/>
  <c r="A37" i="1"/>
  <c r="A34" i="1"/>
  <c r="A31" i="1"/>
  <c r="A28" i="1"/>
  <c r="A24" i="1"/>
  <c r="A20" i="1"/>
  <c r="A16" i="1"/>
  <c r="A12" i="1"/>
  <c r="A8" i="1"/>
  <c r="A4" i="1"/>
  <c r="D18" i="1"/>
  <c r="D44" i="1"/>
  <c r="D32" i="1"/>
  <c r="D14" i="1"/>
  <c r="D29" i="1"/>
  <c r="D41" i="1"/>
  <c r="T2" i="1"/>
  <c r="D9" i="1"/>
  <c r="D25" i="1"/>
  <c r="D37" i="1"/>
  <c r="D5" i="1"/>
  <c r="D21" i="1"/>
  <c r="D34" i="1"/>
  <c r="S2" i="1"/>
</calcChain>
</file>

<file path=xl/comments1.xml><?xml version="1.0" encoding="utf-8"?>
<comments xmlns="http://schemas.openxmlformats.org/spreadsheetml/2006/main">
  <authors>
    <author>KLEINSM</author>
    <author>Simon KLEIN</author>
  </authors>
  <commentList>
    <comment ref="M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
</t>
        </r>
      </text>
    </comment>
    <comment ref="Q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préci, huile puissance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
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O11" authorId="1">
      <text>
        <r>
          <rPr>
            <b/>
            <sz val="9"/>
            <color indexed="81"/>
            <rFont val="Calibri"/>
            <family val="2"/>
          </rPr>
          <t>Simon KLEIN:</t>
        </r>
        <r>
          <rPr>
            <sz val="9"/>
            <color indexed="81"/>
            <rFont val="Calibri"/>
            <family val="2"/>
          </rPr>
          <t xml:space="preserve">
+70 puissance</t>
        </r>
      </text>
    </comment>
    <comment ref="O12" authorId="1">
      <text>
        <r>
          <rPr>
            <b/>
            <sz val="9"/>
            <color indexed="81"/>
            <rFont val="Calibri"/>
            <family val="2"/>
          </rPr>
          <t>Simon KLEIN:</t>
        </r>
        <r>
          <rPr>
            <sz val="9"/>
            <color indexed="81"/>
            <rFont val="Calibri"/>
            <family val="2"/>
          </rPr>
          <t xml:space="preserve">
+35 puissance, +35 précision</t>
        </r>
      </text>
    </comment>
    <comment ref="O13" authorId="1">
      <text>
        <r>
          <rPr>
            <b/>
            <sz val="9"/>
            <color indexed="81"/>
            <rFont val="Calibri"/>
            <family val="2"/>
          </rPr>
          <t>Simon KLEIN:</t>
        </r>
        <r>
          <rPr>
            <sz val="9"/>
            <color indexed="81"/>
            <rFont val="Calibri"/>
            <family val="2"/>
          </rPr>
          <t xml:space="preserve">
+70 précision
</t>
        </r>
      </text>
    </comment>
  </commentList>
</comments>
</file>

<file path=xl/sharedStrings.xml><?xml version="1.0" encoding="utf-8"?>
<sst xmlns="http://schemas.openxmlformats.org/spreadsheetml/2006/main" count="92" uniqueCount="47">
  <si>
    <t>Plastron</t>
  </si>
  <si>
    <t>Casque</t>
  </si>
  <si>
    <t>Cuissardes</t>
  </si>
  <si>
    <t>Jambières</t>
  </si>
  <si>
    <t>Gantelets</t>
  </si>
  <si>
    <t>Epaulettes</t>
  </si>
  <si>
    <t>Amulette</t>
  </si>
  <si>
    <t>Dorsale</t>
  </si>
  <si>
    <t>Earing</t>
  </si>
  <si>
    <t>Anneau</t>
  </si>
  <si>
    <t>Berzerk</t>
  </si>
  <si>
    <t>Soldier</t>
  </si>
  <si>
    <t>Knight</t>
  </si>
  <si>
    <t>Power</t>
  </si>
  <si>
    <t>Toughness</t>
  </si>
  <si>
    <t>Precision</t>
  </si>
  <si>
    <t>Vitality</t>
  </si>
  <si>
    <t>Espadon</t>
  </si>
  <si>
    <t>Weapon Strength</t>
  </si>
  <si>
    <t>Skill-specific coefficient</t>
  </si>
  <si>
    <t>Target's armor</t>
  </si>
  <si>
    <t>HP</t>
  </si>
  <si>
    <t>Critical Chance</t>
  </si>
  <si>
    <t>Critical Damage</t>
  </si>
  <si>
    <t>Armor</t>
  </si>
  <si>
    <t>+100 en puissance, +70 précision</t>
  </si>
  <si>
    <t>huile puissance</t>
  </si>
  <si>
    <t>huile précision</t>
  </si>
  <si>
    <t>Source : http://www.guildwars2guru.com/topic/71963-guide-calculating-damage/</t>
  </si>
  <si>
    <t>Vérifiable IG (en PvP) en tapant les golems avec une arme stable (100-100)</t>
  </si>
  <si>
    <t>Average Damage</t>
  </si>
  <si>
    <t>Base damage</t>
  </si>
  <si>
    <t>Source : http://wiki.guildwars2.com</t>
  </si>
  <si>
    <t>Férocité</t>
  </si>
  <si>
    <t>Dégats critiques</t>
  </si>
  <si>
    <t>+100 en puissance, +70 férocité</t>
  </si>
  <si>
    <t>+100 en précision, +70 férocité</t>
  </si>
  <si>
    <t>Precision (test infusions)</t>
  </si>
  <si>
    <t>Power (test infusions)</t>
  </si>
  <si>
    <t>Critical Chance (test infusions)</t>
  </si>
  <si>
    <t>+7% de critical chance :</t>
  </si>
  <si>
    <t>25 stacks de soif de sang :</t>
  </si>
  <si>
    <t>Rien :</t>
  </si>
  <si>
    <t>Ecart Soif de sang/rien</t>
  </si>
  <si>
    <t>Ecart soif de sang/+7% de critical chance</t>
  </si>
  <si>
    <t>==&gt; moins bien que sigil of the night la nuit</t>
  </si>
  <si>
    <t>==&gt; mieux que +7% de critical chance à partir de 15 stacks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</si>
</sst>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8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164" fontId="0" fillId="0" borderId="0" xfId="0" applyNumberFormat="1"/>
    <xf numFmtId="4" fontId="2" fillId="0" borderId="0" xfId="0" applyNumberFormat="1" applyFont="1" applyAlignment="1">
      <alignment horizontal="left"/>
    </xf>
    <xf numFmtId="10" fontId="0" fillId="0" borderId="0" xfId="1" applyNumberFormat="1" applyFont="1"/>
    <xf numFmtId="9" fontId="0" fillId="0" borderId="0" xfId="0" applyNumberFormat="1"/>
    <xf numFmtId="0" fontId="2" fillId="0" borderId="0" xfId="0" applyFont="1"/>
    <xf numFmtId="0" fontId="0" fillId="0" borderId="1" xfId="0" quotePrefix="1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 applyBorder="1"/>
    <xf numFmtId="1" fontId="0" fillId="0" borderId="0" xfId="0" applyNumberFormat="1"/>
    <xf numFmtId="4" fontId="5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0" fontId="0" fillId="0" borderId="0" xfId="0" applyNumberFormat="1"/>
    <xf numFmtId="0" fontId="0" fillId="0" borderId="0" xfId="1" applyNumberFormat="1" applyFont="1"/>
    <xf numFmtId="0" fontId="0" fillId="0" borderId="0" xfId="0" applyNumberFormat="1"/>
    <xf numFmtId="0" fontId="0" fillId="0" borderId="0" xfId="0" quotePrefix="1"/>
    <xf numFmtId="3" fontId="0" fillId="0" borderId="0" xfId="0" applyNumberFormat="1" applyBorder="1"/>
    <xf numFmtId="0" fontId="0" fillId="0" borderId="0" xfId="0" quotePrefix="1" applyFill="1" applyBorder="1"/>
    <xf numFmtId="10" fontId="0" fillId="2" borderId="0" xfId="0" applyNumberFormat="1" applyFill="1"/>
    <xf numFmtId="4" fontId="0" fillId="2" borderId="1" xfId="0" applyNumberFormat="1" applyFill="1" applyBorder="1"/>
    <xf numFmtId="0" fontId="0" fillId="0" borderId="0" xfId="0" applyAlignment="1">
      <alignment horizontal="center" vertical="center"/>
    </xf>
  </cellXfs>
  <cellStyles count="98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66675</xdr:rowOff>
    </xdr:from>
    <xdr:to>
      <xdr:col>10</xdr:col>
      <xdr:colOff>498125</xdr:colOff>
      <xdr:row>23</xdr:row>
      <xdr:rowOff>110880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1666875"/>
          <a:ext cx="3063525" cy="182220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</xdr:row>
      <xdr:rowOff>19050</xdr:rowOff>
    </xdr:from>
    <xdr:to>
      <xdr:col>5</xdr:col>
      <xdr:colOff>535810</xdr:colOff>
      <xdr:row>12</xdr:row>
      <xdr:rowOff>171407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352550"/>
          <a:ext cx="6123810" cy="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22</xdr:row>
      <xdr:rowOff>12700</xdr:rowOff>
    </xdr:from>
    <xdr:to>
      <xdr:col>5</xdr:col>
      <xdr:colOff>127000</xdr:colOff>
      <xdr:row>28</xdr:row>
      <xdr:rowOff>50800</xdr:rowOff>
    </xdr:to>
    <xdr:pic>
      <xdr:nvPicPr>
        <xdr:cNvPr id="4" name="Image 3" descr="Capture d’écran 2014-05-20 à 18.27.29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3924300"/>
          <a:ext cx="66167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29</xdr:row>
      <xdr:rowOff>0</xdr:rowOff>
    </xdr:from>
    <xdr:to>
      <xdr:col>5</xdr:col>
      <xdr:colOff>88900</xdr:colOff>
      <xdr:row>37</xdr:row>
      <xdr:rowOff>25400</xdr:rowOff>
    </xdr:to>
    <xdr:pic>
      <xdr:nvPicPr>
        <xdr:cNvPr id="5" name="Image 4" descr="Capture d’écran 2014-05-20 à 18.39.05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156200"/>
          <a:ext cx="65786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0"/>
  <sheetViews>
    <sheetView tabSelected="1" topLeftCell="E1" workbookViewId="0">
      <selection activeCell="K2" sqref="K2"/>
    </sheetView>
  </sheetViews>
  <sheetFormatPr baseColWidth="10" defaultColWidth="8.83203125" defaultRowHeight="14" outlineLevelCol="1" x14ac:dyDescent="0"/>
  <cols>
    <col min="1" max="1" width="10.5" hidden="1" customWidth="1" outlineLevel="1"/>
    <col min="2" max="4" width="9.1640625" hidden="1" customWidth="1" outlineLevel="1"/>
    <col min="5" max="5" width="8.83203125" collapsed="1"/>
    <col min="6" max="6" width="10.5" style="1" bestFit="1" customWidth="1"/>
    <col min="8" max="8" width="10.5" bestFit="1" customWidth="1"/>
    <col min="11" max="11" width="14.83203125" bestFit="1" customWidth="1"/>
    <col min="12" max="12" width="14.83203125" customWidth="1"/>
    <col min="13" max="13" width="14.1640625" bestFit="1" customWidth="1"/>
    <col min="16" max="16" width="10.5" bestFit="1" customWidth="1"/>
    <col min="20" max="20" width="15.83203125" bestFit="1" customWidth="1"/>
  </cols>
  <sheetData>
    <row r="1" spans="1:21">
      <c r="B1" t="s">
        <v>10</v>
      </c>
      <c r="C1" t="s">
        <v>11</v>
      </c>
      <c r="D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33</v>
      </c>
      <c r="L1" t="s">
        <v>34</v>
      </c>
      <c r="M1" t="s">
        <v>22</v>
      </c>
      <c r="O1" t="s">
        <v>13</v>
      </c>
      <c r="P1" t="s">
        <v>14</v>
      </c>
      <c r="Q1" t="s">
        <v>15</v>
      </c>
      <c r="R1" t="s">
        <v>16</v>
      </c>
      <c r="S1" t="s">
        <v>21</v>
      </c>
      <c r="T1" t="s">
        <v>24</v>
      </c>
    </row>
    <row r="2" spans="1:21">
      <c r="B2" s="10">
        <f>B3+B7+B11+B15+B19+B23</f>
        <v>1271</v>
      </c>
      <c r="C2" s="10">
        <f t="shared" ref="C2:D2" si="0">C3+C7+C11+C15+C19+C23</f>
        <v>1271</v>
      </c>
      <c r="D2" s="10">
        <f t="shared" si="0"/>
        <v>1271</v>
      </c>
      <c r="G2" s="3">
        <f>SUM(G4:G47)</f>
        <v>1087</v>
      </c>
      <c r="H2" s="3">
        <f>SUM(H4:H47)</f>
        <v>0</v>
      </c>
      <c r="I2" s="3">
        <f>SUM(I4:I47)</f>
        <v>745</v>
      </c>
      <c r="J2" s="3">
        <f>SUM(J4:J47)</f>
        <v>0</v>
      </c>
      <c r="K2" s="20">
        <f>SUM(K4:K47)+150+100</f>
        <v>995</v>
      </c>
      <c r="L2" s="8">
        <f>150%+(K2/15)/100</f>
        <v>2.1633333333333331</v>
      </c>
      <c r="M2" s="5">
        <f>(Q2-N2)/2100+4%</f>
        <v>0.67095238095238097</v>
      </c>
      <c r="N2">
        <v>916</v>
      </c>
      <c r="O2" s="3">
        <f>N2+G2+300+25+50+100+100+0.06*P2+0.04*R2+250</f>
        <v>2919.6</v>
      </c>
      <c r="P2" s="3">
        <f>H2+N2</f>
        <v>916</v>
      </c>
      <c r="Q2" s="3">
        <f>N2+I2+250+2*40+180+70</f>
        <v>2241</v>
      </c>
      <c r="R2" s="3">
        <f t="shared" ref="R2:R7" si="1">$N$2+$J$2</f>
        <v>916</v>
      </c>
      <c r="S2" s="15">
        <f>18372+(R2-N2)*10</f>
        <v>18372</v>
      </c>
      <c r="T2" s="3">
        <f>P2+B2</f>
        <v>2187</v>
      </c>
      <c r="U2" s="6"/>
    </row>
    <row r="3" spans="1:21">
      <c r="A3" t="s">
        <v>1</v>
      </c>
      <c r="B3" s="10">
        <v>127</v>
      </c>
      <c r="C3" s="10">
        <v>127</v>
      </c>
      <c r="D3" s="10">
        <v>127</v>
      </c>
      <c r="G3" s="3"/>
      <c r="H3" s="3"/>
      <c r="I3" s="3"/>
      <c r="K3" s="20">
        <f>K2+70</f>
        <v>1065</v>
      </c>
      <c r="L3" s="8">
        <f>150%+(K3/15)/100</f>
        <v>2.21</v>
      </c>
      <c r="M3" s="5">
        <f>(Q3-N2)/2100+4%</f>
        <v>0.71857142857142864</v>
      </c>
      <c r="O3" s="3">
        <f>N2+G2+300+25+50+100+0.06*P2+0.04*R3+250</f>
        <v>2819.6</v>
      </c>
      <c r="Q3" s="3">
        <f>N2+I2+250+2*40+180+100+70</f>
        <v>2341</v>
      </c>
      <c r="R3" s="3">
        <f t="shared" si="1"/>
        <v>916</v>
      </c>
      <c r="S3" s="15"/>
      <c r="U3" s="6"/>
    </row>
    <row r="4" spans="1:21">
      <c r="A4" s="16">
        <f>B5/B6</f>
        <v>1</v>
      </c>
      <c r="B4">
        <v>47</v>
      </c>
      <c r="C4">
        <f>B4</f>
        <v>47</v>
      </c>
      <c r="D4">
        <f>C4</f>
        <v>47</v>
      </c>
      <c r="F4" s="2" t="s">
        <v>1</v>
      </c>
      <c r="G4">
        <f>IF(F5="Soldier",C4,IF(F5="Berzerk",B4,IF(F5="Knight",D5,0)))</f>
        <v>47</v>
      </c>
      <c r="H4">
        <f>IF(F5="Soldier",C5,IF(F5="Knight",D4,0))</f>
        <v>0</v>
      </c>
      <c r="I4">
        <f>IF(F5="Berzerk",B5,IF(F5="Knight",D5,0))</f>
        <v>34</v>
      </c>
      <c r="J4">
        <f>IF(F5="Soldier",C6,0)</f>
        <v>0</v>
      </c>
      <c r="K4" s="20">
        <f>IF(F5="Berzerk",B6,0)</f>
        <v>34</v>
      </c>
      <c r="L4" s="20"/>
      <c r="M4" s="5">
        <f>(Q4-N2)/2100+4%</f>
        <v>0.70428571428571429</v>
      </c>
      <c r="O4" s="3">
        <f>N2+G2+300+25+50+100+100+0.06*P2+0.04*R4+250</f>
        <v>2919.6</v>
      </c>
      <c r="Q4" s="3">
        <f>N2+I2+250+2*40+180+70+70</f>
        <v>2311</v>
      </c>
      <c r="R4" s="3">
        <f t="shared" si="1"/>
        <v>916</v>
      </c>
      <c r="S4" s="15"/>
    </row>
    <row r="5" spans="1:21">
      <c r="B5">
        <v>34</v>
      </c>
      <c r="C5">
        <f>B5</f>
        <v>34</v>
      </c>
      <c r="D5">
        <f>C5</f>
        <v>34</v>
      </c>
      <c r="F5" s="7" t="s">
        <v>10</v>
      </c>
      <c r="K5" s="20"/>
      <c r="L5" s="20"/>
      <c r="M5" s="6">
        <f>(Q5-N2)/2100+4%</f>
        <v>0.71457142857142852</v>
      </c>
      <c r="O5" s="3">
        <f>N2+G2+300+25+50+100+100+250</f>
        <v>2828</v>
      </c>
      <c r="Q5" s="3">
        <f>N2+I2+250+2*40+180+0.06*P2+0.04*R5+70</f>
        <v>2332.6</v>
      </c>
      <c r="R5" s="3">
        <f t="shared" si="1"/>
        <v>916</v>
      </c>
      <c r="S5" s="15"/>
    </row>
    <row r="6" spans="1:21">
      <c r="B6" s="20">
        <v>34</v>
      </c>
      <c r="C6">
        <f>B5</f>
        <v>34</v>
      </c>
      <c r="D6">
        <f>C5</f>
        <v>34</v>
      </c>
      <c r="K6" s="21"/>
      <c r="L6" s="21"/>
      <c r="M6" s="6">
        <f>(Q6-N2)/2100+4%</f>
        <v>0.7621904761904762</v>
      </c>
      <c r="O6" s="3">
        <f>N2+G2+300+25+50+100+250</f>
        <v>2728</v>
      </c>
      <c r="Q6" s="3">
        <f>N2+I2+250+2*40+180+0.06*P2+0.04*R6+100+70</f>
        <v>2432.6</v>
      </c>
      <c r="R6" s="3">
        <f t="shared" si="1"/>
        <v>916</v>
      </c>
      <c r="S6" s="15"/>
      <c r="U6" s="4"/>
    </row>
    <row r="7" spans="1:21">
      <c r="A7" t="s">
        <v>5</v>
      </c>
      <c r="B7" s="10">
        <v>127</v>
      </c>
      <c r="C7" s="10">
        <v>127</v>
      </c>
      <c r="D7" s="10">
        <v>127</v>
      </c>
      <c r="F7" s="7"/>
      <c r="K7" s="20"/>
      <c r="L7" s="20"/>
      <c r="M7" s="6">
        <f>(Q7-N2)/2100+4%</f>
        <v>0.74790476190476185</v>
      </c>
      <c r="O7" s="3">
        <f>N2+G2+300+25+50+100+100+250</f>
        <v>2828</v>
      </c>
      <c r="Q7" s="3">
        <f>N2+I2+250+2*40+180+0.06*P2+0.04*R7+70+70</f>
        <v>2402.6</v>
      </c>
      <c r="R7" s="3">
        <f t="shared" si="1"/>
        <v>916</v>
      </c>
      <c r="S7" s="15"/>
      <c r="T7" s="4"/>
    </row>
    <row r="8" spans="1:21">
      <c r="A8" s="16">
        <f>B9/B10</f>
        <v>1</v>
      </c>
      <c r="B8">
        <v>35</v>
      </c>
      <c r="C8">
        <f>B8</f>
        <v>35</v>
      </c>
      <c r="D8">
        <f>C8</f>
        <v>35</v>
      </c>
      <c r="F8" s="2" t="s">
        <v>5</v>
      </c>
      <c r="G8">
        <f>IF(F9="Soldier",C8,IF(F9="Berzerk",B8,IF(F9="Knight",D9,0)))</f>
        <v>35</v>
      </c>
      <c r="H8">
        <f>IF(F9="Soldier",C9,IF(F9="Knight",D8,0))</f>
        <v>0</v>
      </c>
      <c r="I8">
        <f>IF(F9="Berzerk",B9,IF(F9="Knight",D9,0))</f>
        <v>25</v>
      </c>
      <c r="J8">
        <f>IF(F9="Soldier",C10,0)</f>
        <v>0</v>
      </c>
      <c r="K8" s="20">
        <f>IF(F9="Berzerk",B10,0)</f>
        <v>25</v>
      </c>
      <c r="L8" s="20"/>
      <c r="M8" s="5"/>
    </row>
    <row r="9" spans="1:21">
      <c r="B9">
        <v>25</v>
      </c>
      <c r="C9">
        <f>B9</f>
        <v>25</v>
      </c>
      <c r="D9">
        <f>C9</f>
        <v>25</v>
      </c>
      <c r="F9" s="7" t="s">
        <v>10</v>
      </c>
      <c r="K9" s="20"/>
      <c r="L9" s="20"/>
      <c r="M9" s="6"/>
      <c r="O9" s="12"/>
      <c r="P9" s="12"/>
    </row>
    <row r="10" spans="1:21">
      <c r="B10" s="21">
        <v>25</v>
      </c>
      <c r="C10">
        <f>B9</f>
        <v>25</v>
      </c>
      <c r="D10">
        <f>C9</f>
        <v>25</v>
      </c>
      <c r="K10" s="21"/>
      <c r="L10" s="21"/>
      <c r="M10" s="6" t="s">
        <v>39</v>
      </c>
      <c r="O10" s="12" t="s">
        <v>38</v>
      </c>
      <c r="P10" s="12"/>
      <c r="Q10" t="s">
        <v>37</v>
      </c>
    </row>
    <row r="11" spans="1:21">
      <c r="A11" t="s">
        <v>0</v>
      </c>
      <c r="B11" s="10">
        <v>381</v>
      </c>
      <c r="C11" s="10">
        <v>381</v>
      </c>
      <c r="D11" s="10">
        <v>381</v>
      </c>
      <c r="F11" s="7"/>
      <c r="K11" s="20"/>
      <c r="L11" s="20"/>
      <c r="M11" s="6">
        <f>(Q11-N2)/2100+4%</f>
        <v>0.63761904761904764</v>
      </c>
      <c r="O11" s="23">
        <f>N2+G2+300+25+50+100+70</f>
        <v>2548</v>
      </c>
      <c r="P11" s="12"/>
      <c r="Q11">
        <f>N2+I2+250+2*40+180</f>
        <v>2171</v>
      </c>
    </row>
    <row r="12" spans="1:21">
      <c r="A12" s="16">
        <f>B13/B14</f>
        <v>1</v>
      </c>
      <c r="B12">
        <v>106</v>
      </c>
      <c r="C12">
        <f>B12</f>
        <v>106</v>
      </c>
      <c r="D12">
        <f>C12</f>
        <v>106</v>
      </c>
      <c r="F12" s="2" t="s">
        <v>0</v>
      </c>
      <c r="G12">
        <f>IF(F13="Soldier",C12,IF(F13="Berzerk",B12,IF(F13="Knight",D13,0)))</f>
        <v>106</v>
      </c>
      <c r="H12">
        <f>IF(F13="Soldier",C13,IF(F13="Knight",D12,0))</f>
        <v>0</v>
      </c>
      <c r="I12">
        <f>IF(F13="Berzerk",B13,IF(F13="Knight",D13,0))</f>
        <v>76</v>
      </c>
      <c r="J12">
        <f>IF(F13="Soldier",C14,0)</f>
        <v>0</v>
      </c>
      <c r="K12" s="20">
        <f>IF(F13="Berzerk",B14,0)</f>
        <v>76</v>
      </c>
      <c r="L12" s="20"/>
      <c r="M12" s="5">
        <f>(Q12-N2)/2100+4%</f>
        <v>0.65428571428571436</v>
      </c>
      <c r="O12" s="23">
        <f>N2+G2+300+25+50+100+35</f>
        <v>2513</v>
      </c>
      <c r="P12" s="13"/>
      <c r="Q12">
        <f>N2+I2+250+2*40+180+35</f>
        <v>2206</v>
      </c>
    </row>
    <row r="13" spans="1:21">
      <c r="B13">
        <v>76</v>
      </c>
      <c r="C13">
        <f>B13</f>
        <v>76</v>
      </c>
      <c r="D13">
        <f>C13</f>
        <v>76</v>
      </c>
      <c r="F13" s="7" t="s">
        <v>10</v>
      </c>
      <c r="K13" s="20"/>
      <c r="L13" s="20"/>
      <c r="M13" s="6">
        <f>(Q13-N2)/2100+4%</f>
        <v>0.67095238095238097</v>
      </c>
      <c r="O13" s="23">
        <f>N2+G2+300+25+50+100</f>
        <v>2478</v>
      </c>
      <c r="P13" s="12"/>
      <c r="Q13">
        <f>N2+I2+250+2*40+180+70</f>
        <v>2241</v>
      </c>
      <c r="R13" s="8"/>
    </row>
    <row r="14" spans="1:21">
      <c r="B14" s="21">
        <v>76</v>
      </c>
      <c r="C14">
        <f>B13</f>
        <v>76</v>
      </c>
      <c r="D14">
        <f>C13</f>
        <v>76</v>
      </c>
      <c r="K14" s="21"/>
      <c r="L14" s="21"/>
      <c r="M14" s="6"/>
      <c r="O14" s="12"/>
      <c r="P14" s="12"/>
      <c r="R14" s="8"/>
    </row>
    <row r="15" spans="1:21">
      <c r="A15" t="s">
        <v>4</v>
      </c>
      <c r="B15" s="10">
        <v>191</v>
      </c>
      <c r="C15" s="10">
        <v>191</v>
      </c>
      <c r="D15" s="10">
        <v>191</v>
      </c>
      <c r="F15" s="7"/>
      <c r="K15" s="20"/>
      <c r="L15" s="20"/>
      <c r="M15" s="6"/>
      <c r="O15" s="12"/>
      <c r="P15" s="12"/>
    </row>
    <row r="16" spans="1:21">
      <c r="A16" s="16">
        <f>B17/B18</f>
        <v>1</v>
      </c>
      <c r="B16">
        <v>35</v>
      </c>
      <c r="C16">
        <f>B16</f>
        <v>35</v>
      </c>
      <c r="D16">
        <f>C16</f>
        <v>35</v>
      </c>
      <c r="F16" s="2" t="s">
        <v>4</v>
      </c>
      <c r="G16">
        <f>IF(F17="Soldier",C16,IF(F17="Berzerk",B16,IF(F17="Knight",D17,0)))</f>
        <v>35</v>
      </c>
      <c r="H16">
        <f>IF(F17="Soldier",C17,IF(F17="Knight",D16,0))</f>
        <v>0</v>
      </c>
      <c r="I16">
        <f>IF(F17="Berzerk",B17,IF(F17="Knight",D17,0))</f>
        <v>25</v>
      </c>
      <c r="J16">
        <f>IF(F17="Soldier",C18,0)</f>
        <v>0</v>
      </c>
      <c r="K16" s="20">
        <f>IF(F17="Berzerk",B18,0)</f>
        <v>25</v>
      </c>
      <c r="L16" s="20"/>
      <c r="M16" s="5"/>
      <c r="O16" s="12"/>
      <c r="P16" s="12"/>
    </row>
    <row r="17" spans="1:16">
      <c r="B17">
        <v>25</v>
      </c>
      <c r="C17">
        <f>B17</f>
        <v>25</v>
      </c>
      <c r="D17">
        <f>C17</f>
        <v>25</v>
      </c>
      <c r="F17" s="7" t="s">
        <v>10</v>
      </c>
      <c r="K17" s="20"/>
      <c r="L17" s="20"/>
      <c r="M17" s="6"/>
      <c r="O17" s="13"/>
      <c r="P17" s="13"/>
    </row>
    <row r="18" spans="1:16">
      <c r="B18" s="21">
        <v>25</v>
      </c>
      <c r="C18">
        <f>B17</f>
        <v>25</v>
      </c>
      <c r="D18">
        <f>C17</f>
        <v>25</v>
      </c>
      <c r="K18" s="20"/>
      <c r="L18" s="20"/>
      <c r="M18" s="6"/>
      <c r="O18" s="14"/>
      <c r="P18" s="14"/>
    </row>
    <row r="19" spans="1:16">
      <c r="A19" t="s">
        <v>2</v>
      </c>
      <c r="B19" s="10">
        <v>254</v>
      </c>
      <c r="C19" s="10">
        <v>254</v>
      </c>
      <c r="D19" s="10">
        <v>254</v>
      </c>
      <c r="F19" s="7"/>
      <c r="K19" s="20"/>
      <c r="L19" s="20"/>
      <c r="M19" s="6"/>
      <c r="O19" s="14"/>
      <c r="P19" s="12"/>
    </row>
    <row r="20" spans="1:16">
      <c r="A20" s="16">
        <f>B21/B22</f>
        <v>1</v>
      </c>
      <c r="B20">
        <v>71</v>
      </c>
      <c r="C20">
        <f>B20</f>
        <v>71</v>
      </c>
      <c r="D20">
        <f>C20</f>
        <v>71</v>
      </c>
      <c r="F20" s="2" t="s">
        <v>2</v>
      </c>
      <c r="G20">
        <f>IF(F21="Soldier",C20,IF(F21="Berzerk",B20,IF(F21="Knight",D21,0)))</f>
        <v>71</v>
      </c>
      <c r="H20">
        <f>IF(F21="Soldier",C21,IF(F21="Knight",D20,0))</f>
        <v>0</v>
      </c>
      <c r="I20">
        <f>IF(F21="Berzerk",B21,IF(F21="Knight",D21,0))</f>
        <v>50</v>
      </c>
      <c r="J20">
        <f>IF(F21="Soldier",C22,0)</f>
        <v>0</v>
      </c>
      <c r="K20" s="20">
        <f>IF(F21="Berzerk",B22,0)</f>
        <v>50</v>
      </c>
      <c r="L20" s="20"/>
      <c r="M20" s="5"/>
    </row>
    <row r="21" spans="1:16">
      <c r="B21">
        <v>50</v>
      </c>
      <c r="C21">
        <f>B21</f>
        <v>50</v>
      </c>
      <c r="D21">
        <f>C21</f>
        <v>50</v>
      </c>
      <c r="F21" s="7" t="s">
        <v>10</v>
      </c>
      <c r="K21" s="20"/>
      <c r="L21" s="20"/>
      <c r="M21" s="6"/>
    </row>
    <row r="22" spans="1:16">
      <c r="B22" s="21">
        <v>50</v>
      </c>
      <c r="C22">
        <f>B21</f>
        <v>50</v>
      </c>
      <c r="D22">
        <f>C21</f>
        <v>50</v>
      </c>
      <c r="K22" s="20"/>
      <c r="L22" s="20"/>
      <c r="M22" s="6"/>
    </row>
    <row r="23" spans="1:16">
      <c r="A23" t="s">
        <v>3</v>
      </c>
      <c r="B23" s="10">
        <v>191</v>
      </c>
      <c r="C23" s="10">
        <v>191</v>
      </c>
      <c r="D23" s="10">
        <v>191</v>
      </c>
      <c r="F23" s="7"/>
      <c r="K23" s="20"/>
      <c r="L23" s="20"/>
      <c r="M23" s="6"/>
    </row>
    <row r="24" spans="1:16">
      <c r="A24" s="16">
        <f>B25/B26</f>
        <v>1</v>
      </c>
      <c r="B24">
        <v>35</v>
      </c>
      <c r="C24">
        <f>B24</f>
        <v>35</v>
      </c>
      <c r="D24">
        <f>C24</f>
        <v>35</v>
      </c>
      <c r="F24" s="2" t="s">
        <v>3</v>
      </c>
      <c r="G24">
        <f>IF(F25="Soldier",C24,IF(F25="Berzerk",B24,IF(F25="Knight",D25,0)))</f>
        <v>35</v>
      </c>
      <c r="H24">
        <f>IF(F25="Soldier",C25,IF(F25="Knight",D24,0))</f>
        <v>0</v>
      </c>
      <c r="I24">
        <f>IF(F25="Berzerk",B25,IF(F25="Knight",D25,0))</f>
        <v>25</v>
      </c>
      <c r="J24">
        <f>IF(F25="Soldier",C26,0)</f>
        <v>0</v>
      </c>
      <c r="K24" s="20">
        <f>IF(F25="Berzerk",B26,0)</f>
        <v>25</v>
      </c>
      <c r="L24" s="20"/>
      <c r="M24" s="5"/>
    </row>
    <row r="25" spans="1:16">
      <c r="B25">
        <v>25</v>
      </c>
      <c r="C25">
        <f>B25</f>
        <v>25</v>
      </c>
      <c r="D25">
        <f>C25</f>
        <v>25</v>
      </c>
      <c r="F25" s="7" t="s">
        <v>10</v>
      </c>
      <c r="K25" s="20"/>
      <c r="L25" s="20"/>
      <c r="M25" s="6"/>
    </row>
    <row r="26" spans="1:16">
      <c r="B26" s="21">
        <v>25</v>
      </c>
      <c r="C26">
        <f>B25</f>
        <v>25</v>
      </c>
      <c r="D26">
        <f>C25</f>
        <v>25</v>
      </c>
      <c r="K26" s="20"/>
      <c r="L26" s="20"/>
      <c r="M26" s="6"/>
    </row>
    <row r="27" spans="1:16">
      <c r="A27" t="s">
        <v>6</v>
      </c>
      <c r="B27">
        <v>126</v>
      </c>
      <c r="C27">
        <f>B27</f>
        <v>126</v>
      </c>
      <c r="D27">
        <f>C27</f>
        <v>126</v>
      </c>
      <c r="F27" s="2" t="s">
        <v>6</v>
      </c>
      <c r="G27">
        <f>IF(F28="Soldier",C27,IF(F28="Berzerk",B27,IF(F28="Knight",D28,0)))</f>
        <v>126</v>
      </c>
      <c r="H27">
        <f>IF(F28="Soldier",C28,IF(F28="Knight",D27,0))</f>
        <v>0</v>
      </c>
      <c r="I27">
        <f>IF(F28="Berzerk",B28,IF(F28="Knight",D28,0))</f>
        <v>85</v>
      </c>
      <c r="J27">
        <f>IF(F28="Soldier",C29,0)</f>
        <v>0</v>
      </c>
      <c r="K27" s="20">
        <f>IF(F28="Berzerk",B29,0)</f>
        <v>85</v>
      </c>
      <c r="L27" s="20"/>
      <c r="M27" s="5"/>
    </row>
    <row r="28" spans="1:16">
      <c r="A28" s="16">
        <f>B28/B29</f>
        <v>1</v>
      </c>
      <c r="B28">
        <v>85</v>
      </c>
      <c r="C28">
        <f>B28</f>
        <v>85</v>
      </c>
      <c r="D28">
        <f>C28</f>
        <v>85</v>
      </c>
      <c r="F28" s="7" t="s">
        <v>10</v>
      </c>
      <c r="K28" s="20"/>
      <c r="L28" s="20"/>
      <c r="M28" s="6"/>
    </row>
    <row r="29" spans="1:16">
      <c r="B29" s="21">
        <v>85</v>
      </c>
      <c r="C29">
        <f>B28</f>
        <v>85</v>
      </c>
      <c r="D29">
        <f>C28</f>
        <v>85</v>
      </c>
      <c r="K29" s="20"/>
      <c r="L29" s="20"/>
      <c r="M29" s="6"/>
    </row>
    <row r="30" spans="1:16">
      <c r="A30" t="s">
        <v>7</v>
      </c>
      <c r="B30">
        <v>56</v>
      </c>
      <c r="C30">
        <f>B30</f>
        <v>56</v>
      </c>
      <c r="D30">
        <f>C30</f>
        <v>56</v>
      </c>
      <c r="F30" s="2" t="s">
        <v>7</v>
      </c>
      <c r="G30">
        <f>IF(F31="Soldier",C30,IF(F31="Berzerk",B30,IF(F31="Knight",D31,0)))</f>
        <v>56</v>
      </c>
      <c r="H30">
        <f>IF(F31="Soldier",C31,IF(F31="Knight",D30,0))</f>
        <v>0</v>
      </c>
      <c r="I30">
        <f>IF(F31="Berzerk",B31,IF(F31="Knight",D31,0))</f>
        <v>35</v>
      </c>
      <c r="J30">
        <f>IF(F31="Soldier",C32,0)</f>
        <v>0</v>
      </c>
      <c r="K30" s="20">
        <f>IF(F31="Berzerk",B32,0)</f>
        <v>35</v>
      </c>
      <c r="L30" s="20"/>
      <c r="M30" s="5"/>
    </row>
    <row r="31" spans="1:16">
      <c r="A31" s="16">
        <f>B31/B32</f>
        <v>1</v>
      </c>
      <c r="B31">
        <v>35</v>
      </c>
      <c r="C31">
        <f>B31</f>
        <v>35</v>
      </c>
      <c r="D31">
        <f>C31</f>
        <v>35</v>
      </c>
      <c r="F31" s="7" t="s">
        <v>10</v>
      </c>
      <c r="K31" s="20"/>
      <c r="L31" s="20"/>
      <c r="M31" s="6"/>
    </row>
    <row r="32" spans="1:16">
      <c r="B32" s="21">
        <v>35</v>
      </c>
      <c r="C32">
        <f>B31</f>
        <v>35</v>
      </c>
      <c r="D32">
        <f>C31</f>
        <v>35</v>
      </c>
      <c r="K32" s="20"/>
      <c r="L32" s="20"/>
      <c r="M32" s="6"/>
    </row>
    <row r="33" spans="1:13">
      <c r="A33" t="s">
        <v>8</v>
      </c>
      <c r="B33">
        <v>91</v>
      </c>
      <c r="C33">
        <f>B33</f>
        <v>91</v>
      </c>
      <c r="D33">
        <f>C33</f>
        <v>91</v>
      </c>
      <c r="F33" s="2" t="s">
        <v>8</v>
      </c>
      <c r="G33">
        <f>IF(F34="Soldier",C33,IF(F34="Berzerk",B33,IF(F34="Knight",D34,0)))</f>
        <v>91</v>
      </c>
      <c r="H33">
        <f>IF(F34="Soldier",C34,IF(F34="Knight",D33,0))</f>
        <v>0</v>
      </c>
      <c r="I33">
        <f>IF(F34="Berzerk",B34,IF(F34="Knight",D34,0))</f>
        <v>60</v>
      </c>
      <c r="J33">
        <f>IF(F34="Soldier",C35,0)</f>
        <v>0</v>
      </c>
      <c r="K33" s="20">
        <f>IF(F34="Berzerk",B35,0)</f>
        <v>60</v>
      </c>
      <c r="L33" s="20"/>
      <c r="M33" s="5"/>
    </row>
    <row r="34" spans="1:13">
      <c r="A34" s="16">
        <f>B34/B35</f>
        <v>1</v>
      </c>
      <c r="B34">
        <v>60</v>
      </c>
      <c r="C34">
        <f>B34</f>
        <v>60</v>
      </c>
      <c r="D34">
        <f>C34</f>
        <v>60</v>
      </c>
      <c r="F34" s="7" t="s">
        <v>10</v>
      </c>
      <c r="K34" s="20"/>
      <c r="L34" s="20"/>
      <c r="M34" s="6"/>
    </row>
    <row r="35" spans="1:13">
      <c r="B35" s="21">
        <v>60</v>
      </c>
      <c r="C35">
        <f>B34</f>
        <v>60</v>
      </c>
      <c r="D35">
        <f>C34</f>
        <v>60</v>
      </c>
      <c r="K35" s="20"/>
      <c r="L35" s="20"/>
      <c r="M35" s="6"/>
    </row>
    <row r="36" spans="1:13">
      <c r="A36" t="s">
        <v>8</v>
      </c>
      <c r="B36">
        <v>91</v>
      </c>
      <c r="C36">
        <f>B36</f>
        <v>91</v>
      </c>
      <c r="D36">
        <f>C36</f>
        <v>91</v>
      </c>
      <c r="F36" s="2" t="s">
        <v>8</v>
      </c>
      <c r="G36">
        <f>IF(F37="Soldier",C36,IF(F37="Berzerk",B36,IF(F37="Knight",D37,0)))</f>
        <v>91</v>
      </c>
      <c r="H36">
        <f>IF(F37="Soldier",C37,IF(F37="Knight",D36,0))</f>
        <v>0</v>
      </c>
      <c r="I36">
        <f>IF(F37="Berzerk",B37,IF(F37="Knight",D37,0))</f>
        <v>60</v>
      </c>
      <c r="J36">
        <f>IF(F37="Soldier",C38,0)</f>
        <v>0</v>
      </c>
      <c r="K36" s="20">
        <f>IF(F37="Berzerk",B38,0)</f>
        <v>60</v>
      </c>
      <c r="L36" s="20"/>
      <c r="M36" s="5"/>
    </row>
    <row r="37" spans="1:13">
      <c r="A37" s="16">
        <f>B37/B38</f>
        <v>1</v>
      </c>
      <c r="B37">
        <v>60</v>
      </c>
      <c r="C37">
        <f>B37</f>
        <v>60</v>
      </c>
      <c r="D37">
        <f>C37</f>
        <v>60</v>
      </c>
      <c r="F37" s="7" t="s">
        <v>10</v>
      </c>
      <c r="K37" s="20"/>
      <c r="L37" s="20"/>
      <c r="M37" s="6"/>
    </row>
    <row r="38" spans="1:13">
      <c r="B38" s="21">
        <v>60</v>
      </c>
      <c r="C38">
        <f>B37</f>
        <v>60</v>
      </c>
      <c r="D38">
        <f>C37</f>
        <v>60</v>
      </c>
      <c r="K38" s="20"/>
      <c r="L38" s="20"/>
      <c r="M38" s="6"/>
    </row>
    <row r="39" spans="1:13">
      <c r="A39" t="s">
        <v>9</v>
      </c>
      <c r="B39">
        <v>103</v>
      </c>
      <c r="C39">
        <f>B39</f>
        <v>103</v>
      </c>
      <c r="D39">
        <f>C39</f>
        <v>103</v>
      </c>
      <c r="F39" s="2" t="s">
        <v>9</v>
      </c>
      <c r="G39">
        <f>IF(F40="Soldier",C39,IF(F40="Berzerk",B39,IF(F40="Knight",D40,0)))</f>
        <v>103</v>
      </c>
      <c r="H39">
        <f>IF(F40="Soldier",C40,IF(F40="Knight",D39,0))</f>
        <v>0</v>
      </c>
      <c r="I39">
        <f>IF(F40="Berzerk",B40,IF(F40="Knight",D40,0))</f>
        <v>68</v>
      </c>
      <c r="J39">
        <f>IF(F40="Soldier",C41,0)</f>
        <v>0</v>
      </c>
      <c r="K39" s="20">
        <f>IF(F40="Berzerk",B41,0)</f>
        <v>68</v>
      </c>
      <c r="L39" s="20"/>
      <c r="M39" s="5"/>
    </row>
    <row r="40" spans="1:13">
      <c r="A40" s="16">
        <f>B40/B41</f>
        <v>1</v>
      </c>
      <c r="B40">
        <v>68</v>
      </c>
      <c r="C40">
        <f>B40</f>
        <v>68</v>
      </c>
      <c r="D40">
        <f>C40</f>
        <v>68</v>
      </c>
      <c r="F40" s="7" t="s">
        <v>10</v>
      </c>
      <c r="K40" s="20"/>
      <c r="L40" s="20"/>
      <c r="M40" s="6"/>
    </row>
    <row r="41" spans="1:13">
      <c r="B41" s="21">
        <v>68</v>
      </c>
      <c r="C41">
        <f>B40</f>
        <v>68</v>
      </c>
      <c r="D41">
        <f>C40</f>
        <v>68</v>
      </c>
      <c r="K41" s="20"/>
      <c r="L41" s="20"/>
      <c r="M41" s="6"/>
    </row>
    <row r="42" spans="1:13">
      <c r="A42" t="s">
        <v>9</v>
      </c>
      <c r="B42">
        <v>103</v>
      </c>
      <c r="C42">
        <f>B42</f>
        <v>103</v>
      </c>
      <c r="D42">
        <f>C42</f>
        <v>103</v>
      </c>
      <c r="F42" s="2" t="s">
        <v>9</v>
      </c>
      <c r="G42">
        <f>IF(F43="Soldier",C42,IF(F43="Berzerk",B42,IF(F43="Knight",D43,0)))</f>
        <v>103</v>
      </c>
      <c r="H42">
        <f>IF(F43="Soldier",C43,IF(F43="Knight",D42,0))</f>
        <v>0</v>
      </c>
      <c r="I42">
        <f>IF(F43="Berzerk",B43,IF(F43="Knight",D43,0))</f>
        <v>68</v>
      </c>
      <c r="J42">
        <f>IF(F43="Soldier",C44,0)</f>
        <v>0</v>
      </c>
      <c r="K42" s="20">
        <f>IF(F43="Berzerk",B44,0)</f>
        <v>68</v>
      </c>
      <c r="L42" s="20"/>
      <c r="M42" s="5"/>
    </row>
    <row r="43" spans="1:13">
      <c r="A43" s="16">
        <f>B43/B44</f>
        <v>1</v>
      </c>
      <c r="B43">
        <v>68</v>
      </c>
      <c r="C43">
        <f>B43</f>
        <v>68</v>
      </c>
      <c r="D43">
        <f>C43</f>
        <v>68</v>
      </c>
      <c r="F43" s="7" t="s">
        <v>10</v>
      </c>
      <c r="K43" s="20"/>
      <c r="L43" s="20"/>
      <c r="M43" s="6"/>
    </row>
    <row r="44" spans="1:13">
      <c r="B44" s="21">
        <v>68</v>
      </c>
      <c r="C44">
        <f>B43</f>
        <v>68</v>
      </c>
      <c r="D44">
        <f>C43</f>
        <v>68</v>
      </c>
      <c r="K44" s="20"/>
      <c r="L44" s="20"/>
      <c r="M44" s="6"/>
    </row>
    <row r="45" spans="1:13">
      <c r="A45" t="s">
        <v>17</v>
      </c>
      <c r="B45">
        <v>188</v>
      </c>
      <c r="C45">
        <v>188</v>
      </c>
      <c r="D45">
        <v>188</v>
      </c>
      <c r="F45" s="1" t="s">
        <v>17</v>
      </c>
      <c r="G45">
        <f>IF(F46="Soldier",C45,IF(F46="Berzerk",B45,IF(F46="Knight",D46,0)))</f>
        <v>188</v>
      </c>
      <c r="H45">
        <f>IF(F46="Soldier",C46,IF(F46="Knight",D45,0))</f>
        <v>0</v>
      </c>
      <c r="I45">
        <f>IF(F46="Berzerk",B46,IF(F46="Knight",D46,0))</f>
        <v>134</v>
      </c>
      <c r="J45">
        <f>IF(F46="Soldier",C47,0)</f>
        <v>0</v>
      </c>
      <c r="K45" s="20">
        <f>IF(F46="Berzerk",B47,0)</f>
        <v>134</v>
      </c>
      <c r="L45" s="20"/>
      <c r="M45" s="5"/>
    </row>
    <row r="46" spans="1:13">
      <c r="A46" s="16">
        <f>B46/B47</f>
        <v>1</v>
      </c>
      <c r="B46">
        <v>134</v>
      </c>
      <c r="C46">
        <v>134</v>
      </c>
      <c r="D46">
        <v>134</v>
      </c>
      <c r="F46" s="7" t="s">
        <v>10</v>
      </c>
      <c r="K46" s="4"/>
      <c r="L46" s="4"/>
      <c r="M46" s="6"/>
    </row>
    <row r="47" spans="1:13">
      <c r="B47" s="21">
        <v>134</v>
      </c>
      <c r="C47">
        <v>134</v>
      </c>
      <c r="D47">
        <v>134</v>
      </c>
      <c r="K47" s="4"/>
      <c r="L47" s="4"/>
      <c r="M47" s="6"/>
    </row>
    <row r="48" spans="1:13">
      <c r="K48" s="4"/>
      <c r="L48" s="4"/>
      <c r="M48" s="5"/>
    </row>
    <row r="49" spans="1:6">
      <c r="A49" s="16"/>
    </row>
    <row r="50" spans="1:6">
      <c r="B50" s="9"/>
      <c r="F50" s="7"/>
    </row>
  </sheetData>
  <dataValidations count="1">
    <dataValidation type="list" allowBlank="1" showInputMessage="1" showErrorMessage="1" sqref="F40 F25 F28 F31 F34 F37 F50 F46 F43 F5 F7 F9 F11 F13 F15 F17 F19 F21 F23">
      <formula1>$B$1:$D$1</formula1>
    </dataValidation>
  </dataValidations>
  <pageMargins left="0.7" right="0.7" top="0.75" bottom="0.75" header="0.3" footer="0.3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G19" sqref="G19"/>
    </sheetView>
  </sheetViews>
  <sheetFormatPr baseColWidth="10" defaultColWidth="8.83203125" defaultRowHeight="14" x14ac:dyDescent="0"/>
  <cols>
    <col min="1" max="1" width="31.5" customWidth="1"/>
    <col min="2" max="2" width="14.83203125" bestFit="1" customWidth="1"/>
    <col min="3" max="3" width="22.5" bestFit="1" customWidth="1"/>
    <col min="6" max="6" width="12.5" customWidth="1"/>
    <col min="7" max="7" width="14.83203125" bestFit="1" customWidth="1"/>
    <col min="8" max="8" width="16" bestFit="1" customWidth="1"/>
    <col min="12" max="12" width="10.6640625" customWidth="1"/>
  </cols>
  <sheetData>
    <row r="1" spans="1:13">
      <c r="A1" t="s">
        <v>18</v>
      </c>
      <c r="B1" t="s">
        <v>13</v>
      </c>
      <c r="C1" t="s">
        <v>19</v>
      </c>
      <c r="D1" t="s">
        <v>20</v>
      </c>
      <c r="F1" t="s">
        <v>31</v>
      </c>
      <c r="G1" t="s">
        <v>23</v>
      </c>
      <c r="H1" t="s">
        <v>30</v>
      </c>
    </row>
    <row r="2" spans="1:13">
      <c r="A2">
        <v>1100</v>
      </c>
      <c r="B2" s="3">
        <f>'Optimisation du Stuff'!O11</f>
        <v>2548</v>
      </c>
      <c r="C2">
        <v>1.3</v>
      </c>
      <c r="D2">
        <v>2501</v>
      </c>
      <c r="F2" s="17">
        <f t="shared" ref="F2:F4" si="0">A2*B2*C2/D2</f>
        <v>1456.8732506997201</v>
      </c>
      <c r="G2" s="17">
        <f>F2*(1+'Optimisation du Stuff'!$L$2)</f>
        <v>4608.5757163801145</v>
      </c>
      <c r="H2" s="17">
        <f>F2*(1-'Optimisation du Stuff'!M11)+G2*'Optimisation du Stuff'!M11</f>
        <v>3466.4587752454572</v>
      </c>
      <c r="I2" s="19">
        <f>H2/H4-1</f>
        <v>-1.9975230502007335E-3</v>
      </c>
    </row>
    <row r="3" spans="1:13">
      <c r="A3">
        <v>1100</v>
      </c>
      <c r="B3" s="3">
        <f>'Optimisation du Stuff'!O12</f>
        <v>2513</v>
      </c>
      <c r="C3">
        <v>1.3</v>
      </c>
      <c r="D3">
        <v>2501</v>
      </c>
      <c r="F3" s="17">
        <f t="shared" si="0"/>
        <v>1436.8612554978008</v>
      </c>
      <c r="G3" s="17">
        <f>F3*(1+'Optimisation du Stuff'!$L$2)</f>
        <v>4545.2711048913761</v>
      </c>
      <c r="H3" s="17">
        <f>F3*(1-'Optimisation du Stuff'!M12)+G3*'Optimisation du Stuff'!M12</f>
        <v>3470.6494141010262</v>
      </c>
      <c r="I3" s="19">
        <f>H3/H4-1</f>
        <v>-7.9102724885837805E-4</v>
      </c>
    </row>
    <row r="4" spans="1:13">
      <c r="A4">
        <v>1100</v>
      </c>
      <c r="B4" s="3">
        <f>'Optimisation du Stuff'!O13</f>
        <v>2478</v>
      </c>
      <c r="C4">
        <v>1.3</v>
      </c>
      <c r="D4">
        <v>2501</v>
      </c>
      <c r="F4" s="17">
        <f t="shared" si="0"/>
        <v>1416.8492602958815</v>
      </c>
      <c r="G4" s="17">
        <f>F4*(1+'Optimisation du Stuff'!$L$2)</f>
        <v>4481.9664934026387</v>
      </c>
      <c r="H4" s="17">
        <f>F4*(1-'Optimisation du Stuff'!M13)+G4*'Optimisation du Stuff'!M13</f>
        <v>3473.3969657470343</v>
      </c>
    </row>
    <row r="6" spans="1:13">
      <c r="A6">
        <v>1100</v>
      </c>
      <c r="B6" s="3">
        <f>'Optimisation du Stuff'!O2</f>
        <v>2919.6</v>
      </c>
      <c r="C6">
        <v>1.3</v>
      </c>
      <c r="D6">
        <v>2501</v>
      </c>
      <c r="F6" s="17">
        <f t="shared" ref="F6:F11" si="1">A6*B6*C6/D6</f>
        <v>1669.343462614954</v>
      </c>
      <c r="G6" s="17">
        <f>F6*(1+'Optimisation du Stuff'!$L$3)</f>
        <v>5358.5925149940022</v>
      </c>
      <c r="H6" s="17">
        <f>(1-'Optimisation du Stuff'!M2)*'Optimisation des Buffs'!F6+'Optimisation du Stuff'!$M$2*'Optimisation des Buffs'!G6</f>
        <v>4144.6538982349921</v>
      </c>
      <c r="J6" s="22" t="s">
        <v>35</v>
      </c>
      <c r="M6" t="s">
        <v>26</v>
      </c>
    </row>
    <row r="7" spans="1:13">
      <c r="A7">
        <v>1100</v>
      </c>
      <c r="B7" s="3">
        <f>'Optimisation du Stuff'!O3</f>
        <v>2819.6</v>
      </c>
      <c r="C7">
        <v>1.3</v>
      </c>
      <c r="D7">
        <v>2501</v>
      </c>
      <c r="F7" s="17">
        <f t="shared" si="1"/>
        <v>1612.1663334666134</v>
      </c>
      <c r="G7" s="17">
        <f>F7*(1+'Optimisation du Stuff'!$L$3)</f>
        <v>5175.0539304278291</v>
      </c>
      <c r="H7" s="17">
        <f>(1-'Optimisation du Stuff'!M3)*'Optimisation des Buffs'!F7+'Optimisation du Stuff'!M3*'Optimisation des Buffs'!G7</f>
        <v>4172.3555638544585</v>
      </c>
      <c r="J7" s="22" t="s">
        <v>36</v>
      </c>
      <c r="M7" t="s">
        <v>26</v>
      </c>
    </row>
    <row r="8" spans="1:13">
      <c r="A8">
        <v>1100</v>
      </c>
      <c r="B8" s="3">
        <f>'Optimisation du Stuff'!O4</f>
        <v>2919.6</v>
      </c>
      <c r="C8">
        <v>1.3</v>
      </c>
      <c r="D8">
        <v>2501</v>
      </c>
      <c r="F8" s="17">
        <f t="shared" si="1"/>
        <v>1669.343462614954</v>
      </c>
      <c r="G8" s="17">
        <f>F8*(1+'Optimisation du Stuff'!$L$2)</f>
        <v>5280.6898200719706</v>
      </c>
      <c r="H8" s="17">
        <f>(1-'Optimisation du Stuff'!M4)*'Optimisation des Buffs'!F8+'Optimisation du Stuff'!M4*'Optimisation des Buffs'!G8</f>
        <v>4212.763111509681</v>
      </c>
      <c r="J8" t="s">
        <v>25</v>
      </c>
      <c r="M8" t="s">
        <v>26</v>
      </c>
    </row>
    <row r="9" spans="1:13">
      <c r="A9">
        <v>1100</v>
      </c>
      <c r="B9" s="3">
        <f>'Optimisation du Stuff'!O5</f>
        <v>2828</v>
      </c>
      <c r="C9">
        <v>1.3</v>
      </c>
      <c r="D9">
        <v>2501</v>
      </c>
      <c r="F9" s="17">
        <f t="shared" si="1"/>
        <v>1616.9692123150739</v>
      </c>
      <c r="G9" s="17">
        <f>F9*(1+'Optimisation du Stuff'!$L$3)</f>
        <v>5190.471171531387</v>
      </c>
      <c r="H9" s="17">
        <f>(1-'Optimisation du Stuff'!M5)*'Optimisation des Buffs'!F9+'Optimisation du Stuff'!M5*'Optimisation des Buffs'!G9</f>
        <v>4170.4916123150733</v>
      </c>
      <c r="J9" s="22" t="s">
        <v>35</v>
      </c>
      <c r="M9" t="s">
        <v>27</v>
      </c>
    </row>
    <row r="10" spans="1:13">
      <c r="A10">
        <v>1100</v>
      </c>
      <c r="B10" s="3">
        <f>'Optimisation du Stuff'!O6</f>
        <v>2728</v>
      </c>
      <c r="C10">
        <v>1.3</v>
      </c>
      <c r="D10">
        <v>2501</v>
      </c>
      <c r="F10" s="17">
        <f t="shared" si="1"/>
        <v>1559.7920831667334</v>
      </c>
      <c r="G10" s="17">
        <f>F10*(1+'Optimisation du Stuff'!$L$3)</f>
        <v>5006.9325869652139</v>
      </c>
      <c r="H10" s="17">
        <f>(1-'Optimisation du Stuff'!M6)*'Optimisation des Buffs'!F10+'Optimisation du Stuff'!M6*'Optimisation des Buffs'!G10</f>
        <v>4187.1697452523749</v>
      </c>
      <c r="J10" s="22" t="s">
        <v>36</v>
      </c>
      <c r="M10" t="s">
        <v>27</v>
      </c>
    </row>
    <row r="11" spans="1:13">
      <c r="A11">
        <v>1100</v>
      </c>
      <c r="B11" s="3">
        <f>'Optimisation du Stuff'!O7</f>
        <v>2828</v>
      </c>
      <c r="C11">
        <v>1.3</v>
      </c>
      <c r="D11">
        <v>2501</v>
      </c>
      <c r="F11" s="17">
        <f t="shared" si="1"/>
        <v>1616.9692123150739</v>
      </c>
      <c r="G11" s="17">
        <f>F11*(1+'Optimisation du Stuff'!$L$2)</f>
        <v>5115.0126082900169</v>
      </c>
      <c r="H11" s="17">
        <f>(1-'Optimisation du Stuff'!M7)*'Optimisation des Buffs'!F11+'Optimisation du Stuff'!M7*'Optimisation des Buffs'!G11</f>
        <v>4233.1725255142383</v>
      </c>
      <c r="J11" t="s">
        <v>25</v>
      </c>
      <c r="M11" t="s">
        <v>27</v>
      </c>
    </row>
    <row r="14" spans="1:13">
      <c r="A14" t="s">
        <v>32</v>
      </c>
    </row>
    <row r="16" spans="1:13">
      <c r="A16" t="s">
        <v>41</v>
      </c>
    </row>
    <row r="17" spans="1:8">
      <c r="B17" s="11" t="s">
        <v>26</v>
      </c>
      <c r="C17" s="11" t="s">
        <v>27</v>
      </c>
    </row>
    <row r="18" spans="1:8">
      <c r="A18" s="11" t="s">
        <v>35</v>
      </c>
      <c r="B18" s="18">
        <f>H6</f>
        <v>4144.6538982349921</v>
      </c>
      <c r="C18" s="18">
        <f>H9</f>
        <v>4170.4916123150733</v>
      </c>
      <c r="D18" s="19">
        <f>B18/C19-1</f>
        <v>-2.091070627188607E-2</v>
      </c>
      <c r="E18" s="19">
        <f>C18/C19-1</f>
        <v>-1.4807077392044343E-2</v>
      </c>
    </row>
    <row r="19" spans="1:8">
      <c r="A19" s="11" t="s">
        <v>25</v>
      </c>
      <c r="B19" s="18">
        <f>H8</f>
        <v>4212.763111509681</v>
      </c>
      <c r="C19" s="26">
        <f>H11</f>
        <v>4233.1725255142383</v>
      </c>
      <c r="D19" s="19">
        <f>B19/C19-1</f>
        <v>-4.8213045609516447E-3</v>
      </c>
      <c r="E19" s="19"/>
    </row>
    <row r="20" spans="1:8">
      <c r="A20" s="11" t="s">
        <v>36</v>
      </c>
      <c r="B20" s="18">
        <f>H7</f>
        <v>4172.3555638544585</v>
      </c>
      <c r="C20" s="18">
        <f>H10</f>
        <v>4187.1697452523749</v>
      </c>
      <c r="D20" s="19">
        <f>B20/C19-1</f>
        <v>-1.4366757152755483E-2</v>
      </c>
      <c r="E20" s="19">
        <f>C20/C19-1</f>
        <v>-1.0867211290018219E-2</v>
      </c>
    </row>
    <row r="22" spans="1:8">
      <c r="A22" s="24" t="s">
        <v>40</v>
      </c>
    </row>
    <row r="25" spans="1:8">
      <c r="H25" t="s">
        <v>28</v>
      </c>
    </row>
    <row r="26" spans="1:8">
      <c r="H26" t="s">
        <v>29</v>
      </c>
    </row>
    <row r="29" spans="1:8">
      <c r="A29" t="s">
        <v>42</v>
      </c>
    </row>
    <row r="40" spans="1:4">
      <c r="A40" s="27" t="s">
        <v>43</v>
      </c>
      <c r="B40" s="19">
        <f>B18/3789.75-1</f>
        <v>9.3648366840818564E-2</v>
      </c>
      <c r="C40" s="19">
        <f>C18/3801.81-1</f>
        <v>9.6975286065077881E-2</v>
      </c>
    </row>
    <row r="41" spans="1:4">
      <c r="A41" s="27"/>
      <c r="B41" s="19">
        <f>B19/3852.03-1</f>
        <v>9.3647534289629242E-2</v>
      </c>
      <c r="C41" s="25">
        <f>C19/3858.95-1</f>
        <v>9.6975220076507496E-2</v>
      </c>
      <c r="D41" s="22" t="s">
        <v>45</v>
      </c>
    </row>
    <row r="42" spans="1:4">
      <c r="A42" s="27"/>
      <c r="B42" s="19">
        <f>B20/3802.41-1</f>
        <v>9.7292391892104924E-2</v>
      </c>
      <c r="C42" s="19">
        <f>C20/3803.45-1</f>
        <v>0.10088728529423951</v>
      </c>
    </row>
    <row r="44" spans="1:4">
      <c r="A44" s="27" t="s">
        <v>44</v>
      </c>
      <c r="B44" s="19">
        <f>B18/4025.89-1</f>
        <v>2.9500035578466477E-2</v>
      </c>
      <c r="C44" s="19">
        <f>C18/4029.84-1</f>
        <v>3.4902530203450466E-2</v>
      </c>
    </row>
    <row r="45" spans="1:4">
      <c r="A45" s="27"/>
      <c r="B45" s="19">
        <f>B19/4083.18-1</f>
        <v>3.1735831266238801E-2</v>
      </c>
      <c r="C45" s="25">
        <f>C19/4082.17-1</f>
        <v>3.6990748918893201E-2</v>
      </c>
      <c r="D45" s="22" t="s">
        <v>46</v>
      </c>
    </row>
    <row r="46" spans="1:4">
      <c r="A46" s="27"/>
      <c r="B46" s="19">
        <f>B20/4029.7-1</f>
        <v>3.5401038254574413E-2</v>
      </c>
      <c r="C46" s="19">
        <f>C20/4022.63-1</f>
        <v>4.0903524622541765E-2</v>
      </c>
    </row>
  </sheetData>
  <mergeCells count="2">
    <mergeCell ref="A40:A42"/>
    <mergeCell ref="A44:A46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Optimisation du Stuff</vt:lpstr>
      <vt:lpstr>Optimisation des Buffs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BRUWIELA</dc:creator>
  <cp:lastModifiedBy>Simon KLEIN</cp:lastModifiedBy>
  <dcterms:created xsi:type="dcterms:W3CDTF">2013-10-16T15:30:39Z</dcterms:created>
  <dcterms:modified xsi:type="dcterms:W3CDTF">2014-05-20T17:45:17Z</dcterms:modified>
</cp:coreProperties>
</file>