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60" windowWidth="15435" windowHeight="12645"/>
  </bookViews>
  <sheets>
    <sheet name="Calcule tes fourmis" sheetId="1" r:id="rId1"/>
  </sheets>
  <calcPr calcId="125725"/>
</workbook>
</file>

<file path=xl/calcChain.xml><?xml version="1.0" encoding="utf-8"?>
<calcChain xmlns="http://schemas.openxmlformats.org/spreadsheetml/2006/main">
  <c r="S97" i="1"/>
  <c r="S98"/>
  <c r="S99"/>
  <c r="S100"/>
  <c r="S101"/>
  <c r="S102"/>
  <c r="S103"/>
  <c r="S104"/>
  <c r="S105"/>
  <c r="S106"/>
  <c r="S107"/>
  <c r="S108"/>
  <c r="S109"/>
  <c r="S96"/>
  <c r="R97"/>
  <c r="R98"/>
  <c r="R99"/>
  <c r="R100"/>
  <c r="R101"/>
  <c r="R102"/>
  <c r="R103"/>
  <c r="R104"/>
  <c r="R105"/>
  <c r="R106"/>
  <c r="R107"/>
  <c r="R108"/>
  <c r="R109"/>
  <c r="R96"/>
  <c r="D40"/>
  <c r="D42"/>
  <c r="D44"/>
  <c r="W73"/>
  <c r="X73" s="1"/>
  <c r="Q73"/>
  <c r="R73" s="1"/>
  <c r="K73"/>
  <c r="L73" s="1"/>
  <c r="D13"/>
  <c r="L24" s="1"/>
  <c r="D52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D64"/>
  <c r="I64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51"/>
  <c r="K51" s="1"/>
  <c r="D51"/>
  <c r="I51" s="1"/>
  <c r="E52"/>
  <c r="J52" s="1"/>
  <c r="E53"/>
  <c r="J53" s="1"/>
  <c r="E54"/>
  <c r="J54" s="1"/>
  <c r="E55"/>
  <c r="J55" s="1"/>
  <c r="E56"/>
  <c r="J56" s="1"/>
  <c r="E57"/>
  <c r="J57" s="1"/>
  <c r="E58"/>
  <c r="J58" s="1"/>
  <c r="E59"/>
  <c r="J59" s="1"/>
  <c r="E60"/>
  <c r="J60" s="1"/>
  <c r="E61"/>
  <c r="J61" s="1"/>
  <c r="E62"/>
  <c r="J62" s="1"/>
  <c r="E63"/>
  <c r="J63" s="1"/>
  <c r="E64"/>
  <c r="J64" s="1"/>
  <c r="E51"/>
  <c r="J51" s="1"/>
  <c r="O33"/>
  <c r="K23"/>
  <c r="R23" s="1"/>
  <c r="J23"/>
  <c r="Q23" s="1"/>
  <c r="I23"/>
  <c r="P23" s="1"/>
  <c r="R111" l="1"/>
  <c r="S111" s="1"/>
  <c r="R112"/>
  <c r="L25"/>
  <c r="L20"/>
  <c r="L17"/>
  <c r="P40" s="1"/>
  <c r="L28"/>
  <c r="L29"/>
  <c r="L21"/>
  <c r="D46"/>
  <c r="L22"/>
  <c r="L19"/>
  <c r="L26"/>
  <c r="L27"/>
  <c r="L30"/>
  <c r="L31"/>
  <c r="L23"/>
  <c r="L18"/>
  <c r="N56"/>
  <c r="P56"/>
  <c r="O56"/>
  <c r="I66"/>
  <c r="K66"/>
  <c r="J66"/>
  <c r="G63" l="1"/>
  <c r="G57"/>
  <c r="G64"/>
  <c r="G56"/>
  <c r="G55"/>
  <c r="G58"/>
  <c r="G52"/>
  <c r="G61"/>
  <c r="G60"/>
  <c r="G54"/>
  <c r="G53"/>
  <c r="G62"/>
  <c r="G50"/>
  <c r="G51"/>
  <c r="G59"/>
  <c r="K19"/>
  <c r="R19" s="1"/>
  <c r="P52" s="1"/>
  <c r="K20"/>
  <c r="R20" s="1"/>
  <c r="P53" s="1"/>
  <c r="K21"/>
  <c r="R21" s="1"/>
  <c r="P54" s="1"/>
  <c r="K22"/>
  <c r="R22" s="1"/>
  <c r="P55" s="1"/>
  <c r="K24"/>
  <c r="R24" s="1"/>
  <c r="P57" s="1"/>
  <c r="K25"/>
  <c r="R25" s="1"/>
  <c r="P58" s="1"/>
  <c r="K26"/>
  <c r="R26" s="1"/>
  <c r="P59" s="1"/>
  <c r="K27"/>
  <c r="R27" s="1"/>
  <c r="P60" s="1"/>
  <c r="K28"/>
  <c r="R28" s="1"/>
  <c r="P61" s="1"/>
  <c r="K29"/>
  <c r="K30"/>
  <c r="R30" s="1"/>
  <c r="P63" s="1"/>
  <c r="K31"/>
  <c r="R31" s="1"/>
  <c r="P64" s="1"/>
  <c r="K18"/>
  <c r="R18" s="1"/>
  <c r="P51" s="1"/>
  <c r="J19"/>
  <c r="Q19" s="1"/>
  <c r="O52" s="1"/>
  <c r="J20"/>
  <c r="Q20" s="1"/>
  <c r="O53" s="1"/>
  <c r="J21"/>
  <c r="Q21" s="1"/>
  <c r="O54" s="1"/>
  <c r="J22"/>
  <c r="Q22" s="1"/>
  <c r="O55" s="1"/>
  <c r="J24"/>
  <c r="Q24" s="1"/>
  <c r="O57" s="1"/>
  <c r="J25"/>
  <c r="Q25" s="1"/>
  <c r="O58" s="1"/>
  <c r="J26"/>
  <c r="Q26" s="1"/>
  <c r="O59" s="1"/>
  <c r="J27"/>
  <c r="Q27" s="1"/>
  <c r="O60" s="1"/>
  <c r="J28"/>
  <c r="Q28" s="1"/>
  <c r="O61" s="1"/>
  <c r="J29"/>
  <c r="J30"/>
  <c r="Q30" s="1"/>
  <c r="O63" s="1"/>
  <c r="J31"/>
  <c r="Q31" s="1"/>
  <c r="O64" s="1"/>
  <c r="J18"/>
  <c r="Q18" s="1"/>
  <c r="I19"/>
  <c r="P19" s="1"/>
  <c r="I20"/>
  <c r="P20" s="1"/>
  <c r="I21"/>
  <c r="P21" s="1"/>
  <c r="I22"/>
  <c r="P22" s="1"/>
  <c r="I24"/>
  <c r="P24" s="1"/>
  <c r="I25"/>
  <c r="P25" s="1"/>
  <c r="I26"/>
  <c r="P26" s="1"/>
  <c r="I27"/>
  <c r="P27" s="1"/>
  <c r="I28"/>
  <c r="P28" s="1"/>
  <c r="I29"/>
  <c r="I30"/>
  <c r="P30" s="1"/>
  <c r="I31"/>
  <c r="P31" s="1"/>
  <c r="I18"/>
  <c r="P18" s="1"/>
  <c r="U96" l="1"/>
  <c r="U99" s="1"/>
  <c r="F95"/>
  <c r="U94" s="1"/>
  <c r="P29"/>
  <c r="N62" s="1"/>
  <c r="Q29"/>
  <c r="O62" s="1"/>
  <c r="R29"/>
  <c r="P62" s="1"/>
  <c r="P66" s="1"/>
  <c r="N61"/>
  <c r="N53"/>
  <c r="N54"/>
  <c r="N58"/>
  <c r="N59"/>
  <c r="N60"/>
  <c r="N52"/>
  <c r="N63"/>
  <c r="N64"/>
  <c r="N55"/>
  <c r="N57"/>
  <c r="N51"/>
  <c r="O51"/>
  <c r="V96" l="1"/>
  <c r="V97" s="1"/>
  <c r="U111"/>
  <c r="U112" s="1"/>
  <c r="P33"/>
  <c r="D74" s="1"/>
  <c r="I76" s="1"/>
  <c r="Q33"/>
  <c r="R33"/>
  <c r="D78" s="1"/>
  <c r="N66"/>
  <c r="U60"/>
  <c r="X60" s="1"/>
  <c r="U63"/>
  <c r="X63" s="1"/>
  <c r="U59"/>
  <c r="X59" s="1"/>
  <c r="U55"/>
  <c r="X55" s="1"/>
  <c r="U51"/>
  <c r="X51" s="1"/>
  <c r="U54"/>
  <c r="X54" s="1"/>
  <c r="U53"/>
  <c r="X53" s="1"/>
  <c r="U64"/>
  <c r="X64" s="1"/>
  <c r="U61"/>
  <c r="X61" s="1"/>
  <c r="U57"/>
  <c r="X57" s="1"/>
  <c r="U56"/>
  <c r="X56" s="1"/>
  <c r="U52"/>
  <c r="X52" s="1"/>
  <c r="O66"/>
  <c r="D76" l="1"/>
  <c r="F78" s="1"/>
  <c r="D95"/>
  <c r="S58"/>
  <c r="S48"/>
  <c r="X66"/>
  <c r="S55"/>
  <c r="V55" s="1"/>
  <c r="U80"/>
  <c r="U86"/>
  <c r="U79"/>
  <c r="U77"/>
  <c r="U84"/>
  <c r="U83"/>
  <c r="U76"/>
  <c r="U82"/>
  <c r="U81"/>
  <c r="U87"/>
  <c r="U78"/>
  <c r="U85"/>
  <c r="I83"/>
  <c r="J83" s="1"/>
  <c r="I81"/>
  <c r="J81" s="1"/>
  <c r="I79"/>
  <c r="J79" s="1"/>
  <c r="I87"/>
  <c r="J87" s="1"/>
  <c r="I78"/>
  <c r="J78" s="1"/>
  <c r="I82"/>
  <c r="J82" s="1"/>
  <c r="I80"/>
  <c r="J80" s="1"/>
  <c r="I86"/>
  <c r="J86" s="1"/>
  <c r="I77"/>
  <c r="J77" s="1"/>
  <c r="I85"/>
  <c r="J85" s="1"/>
  <c r="I84"/>
  <c r="J84" s="1"/>
  <c r="S59"/>
  <c r="V59" s="1"/>
  <c r="S64"/>
  <c r="V64" s="1"/>
  <c r="S60"/>
  <c r="V60" s="1"/>
  <c r="S53"/>
  <c r="V53" s="1"/>
  <c r="S56"/>
  <c r="V56" s="1"/>
  <c r="S52"/>
  <c r="V52" s="1"/>
  <c r="S54"/>
  <c r="V54" s="1"/>
  <c r="S57"/>
  <c r="V57" s="1"/>
  <c r="S63"/>
  <c r="V63" s="1"/>
  <c r="S51"/>
  <c r="V51" s="1"/>
  <c r="S62"/>
  <c r="S61"/>
  <c r="V61" s="1"/>
  <c r="T64"/>
  <c r="W64" s="1"/>
  <c r="T52"/>
  <c r="W52" s="1"/>
  <c r="T56"/>
  <c r="W56" s="1"/>
  <c r="T53"/>
  <c r="W53" s="1"/>
  <c r="T61"/>
  <c r="W61" s="1"/>
  <c r="T55"/>
  <c r="W55" s="1"/>
  <c r="T51"/>
  <c r="W51" s="1"/>
  <c r="T63"/>
  <c r="W63" s="1"/>
  <c r="T60"/>
  <c r="W60" s="1"/>
  <c r="T59"/>
  <c r="W59" s="1"/>
  <c r="T57"/>
  <c r="W57" s="1"/>
  <c r="T54"/>
  <c r="W54" s="1"/>
  <c r="O77" l="1"/>
  <c r="P77" s="1"/>
  <c r="I103"/>
  <c r="J103" s="1"/>
  <c r="I109"/>
  <c r="J109" s="1"/>
  <c r="I100"/>
  <c r="J100" s="1"/>
  <c r="I108"/>
  <c r="J108" s="1"/>
  <c r="I102"/>
  <c r="J102" s="1"/>
  <c r="I96"/>
  <c r="J96" s="1"/>
  <c r="I101"/>
  <c r="J101" s="1"/>
  <c r="I99"/>
  <c r="J99" s="1"/>
  <c r="I107"/>
  <c r="J107" s="1"/>
  <c r="I105"/>
  <c r="J105" s="1"/>
  <c r="I97"/>
  <c r="J97" s="1"/>
  <c r="I98"/>
  <c r="J98" s="1"/>
  <c r="I106"/>
  <c r="J106" s="1"/>
  <c r="I104"/>
  <c r="J104" s="1"/>
  <c r="O85"/>
  <c r="P85" s="1"/>
  <c r="O84"/>
  <c r="P84" s="1"/>
  <c r="O76"/>
  <c r="P76" s="1"/>
  <c r="O81"/>
  <c r="P81" s="1"/>
  <c r="F76"/>
  <c r="O82"/>
  <c r="P82" s="1"/>
  <c r="O78"/>
  <c r="P78" s="1"/>
  <c r="F74"/>
  <c r="O86"/>
  <c r="P86" s="1"/>
  <c r="O80"/>
  <c r="P80" s="1"/>
  <c r="O83"/>
  <c r="P83" s="1"/>
  <c r="O79"/>
  <c r="P79" s="1"/>
  <c r="O87"/>
  <c r="P87" s="1"/>
  <c r="W66"/>
  <c r="V86"/>
  <c r="X86"/>
  <c r="W86"/>
  <c r="V76"/>
  <c r="X76"/>
  <c r="X80"/>
  <c r="V80"/>
  <c r="W80"/>
  <c r="X78"/>
  <c r="W78"/>
  <c r="V78"/>
  <c r="W79"/>
  <c r="V79"/>
  <c r="X79"/>
  <c r="V82"/>
  <c r="X82"/>
  <c r="W82"/>
  <c r="X87"/>
  <c r="W87"/>
  <c r="V87"/>
  <c r="W85"/>
  <c r="V85"/>
  <c r="X85"/>
  <c r="X77"/>
  <c r="W77"/>
  <c r="V77"/>
  <c r="V83"/>
  <c r="X83"/>
  <c r="W83"/>
  <c r="X81"/>
  <c r="W81"/>
  <c r="V81"/>
  <c r="X84"/>
  <c r="W84"/>
  <c r="V84"/>
  <c r="J76"/>
  <c r="K79"/>
  <c r="L79"/>
  <c r="K78"/>
  <c r="L78"/>
  <c r="L82"/>
  <c r="K82"/>
  <c r="L81"/>
  <c r="K81"/>
  <c r="L84"/>
  <c r="K84"/>
  <c r="K80"/>
  <c r="L80"/>
  <c r="K85"/>
  <c r="L85"/>
  <c r="L87"/>
  <c r="K87"/>
  <c r="L86"/>
  <c r="K86"/>
  <c r="K76"/>
  <c r="L76"/>
  <c r="L77"/>
  <c r="K77"/>
  <c r="L83"/>
  <c r="K83"/>
  <c r="W76"/>
  <c r="R78" l="1"/>
  <c r="Q82"/>
  <c r="K107"/>
  <c r="M107" s="1"/>
  <c r="N107" s="1"/>
  <c r="K103"/>
  <c r="L103" s="1"/>
  <c r="K105"/>
  <c r="L105" s="1"/>
  <c r="K109"/>
  <c r="L109" s="1"/>
  <c r="K97"/>
  <c r="M97" s="1"/>
  <c r="N97" s="1"/>
  <c r="K108"/>
  <c r="L108" s="1"/>
  <c r="K106"/>
  <c r="L106" s="1"/>
  <c r="K102"/>
  <c r="L102" s="1"/>
  <c r="Q76"/>
  <c r="K99"/>
  <c r="L99" s="1"/>
  <c r="K100"/>
  <c r="M100" s="1"/>
  <c r="N100" s="1"/>
  <c r="K98"/>
  <c r="M98" s="1"/>
  <c r="N98" s="1"/>
  <c r="K104"/>
  <c r="L104" s="1"/>
  <c r="K96"/>
  <c r="M96" s="1"/>
  <c r="N96" s="1"/>
  <c r="K101"/>
  <c r="M101" s="1"/>
  <c r="N101" s="1"/>
  <c r="R82"/>
  <c r="Q78"/>
  <c r="Q79"/>
  <c r="Q81"/>
  <c r="R81"/>
  <c r="R86"/>
  <c r="R85"/>
  <c r="Q86"/>
  <c r="Q85"/>
  <c r="Q77"/>
  <c r="R77"/>
  <c r="R84"/>
  <c r="R76"/>
  <c r="Q84"/>
  <c r="R79"/>
  <c r="Q80"/>
  <c r="R87"/>
  <c r="R80"/>
  <c r="Q87"/>
  <c r="Q83"/>
  <c r="R83"/>
  <c r="L107" l="1"/>
  <c r="L97"/>
  <c r="M105"/>
  <c r="N105" s="1"/>
  <c r="M109"/>
  <c r="N109" s="1"/>
  <c r="M106"/>
  <c r="N106" s="1"/>
  <c r="L101"/>
  <c r="M108"/>
  <c r="N108" s="1"/>
  <c r="L96"/>
  <c r="M102"/>
  <c r="N102" s="1"/>
  <c r="M103"/>
  <c r="N103" s="1"/>
  <c r="L98"/>
  <c r="M99"/>
  <c r="N99" s="1"/>
  <c r="L100"/>
  <c r="M104"/>
  <c r="N104" s="1"/>
  <c r="N111" l="1"/>
  <c r="N112"/>
  <c r="V98"/>
  <c r="V99" l="1"/>
  <c r="V100" s="1"/>
  <c r="V101" l="1"/>
  <c r="V104" s="1"/>
  <c r="V105" l="1"/>
  <c r="V106" s="1"/>
  <c r="V107" s="1"/>
  <c r="V108" l="1"/>
  <c r="V109" s="1"/>
  <c r="V111" l="1"/>
  <c r="V112" s="1"/>
</calcChain>
</file>

<file path=xl/sharedStrings.xml><?xml version="1.0" encoding="utf-8"?>
<sst xmlns="http://schemas.openxmlformats.org/spreadsheetml/2006/main" count="273" uniqueCount="85">
  <si>
    <t>Couveuse</t>
  </si>
  <si>
    <t>Solarium</t>
  </si>
  <si>
    <t>Bouclier</t>
  </si>
  <si>
    <t>Arme</t>
  </si>
  <si>
    <t>Ouvriere</t>
  </si>
  <si>
    <t>Soldate naine</t>
  </si>
  <si>
    <t>Naine d'elite</t>
  </si>
  <si>
    <t>Jeune soldate</t>
  </si>
  <si>
    <t>Soldate</t>
  </si>
  <si>
    <t>Concierge</t>
  </si>
  <si>
    <t>Artilleuse</t>
  </si>
  <si>
    <t>Artilleuse elite</t>
  </si>
  <si>
    <t>Tanks</t>
  </si>
  <si>
    <t>Tank elite</t>
  </si>
  <si>
    <t>Tueuse</t>
  </si>
  <si>
    <t>Tueuse elite</t>
  </si>
  <si>
    <t>Vie</t>
  </si>
  <si>
    <t>Attaque</t>
  </si>
  <si>
    <t>Defense</t>
  </si>
  <si>
    <t>Sans bonus</t>
  </si>
  <si>
    <t>Avec bonus</t>
  </si>
  <si>
    <t>Soldate elite</t>
  </si>
  <si>
    <t>Concierge elite</t>
  </si>
  <si>
    <t>Mon armee</t>
  </si>
  <si>
    <t>Nombre</t>
  </si>
  <si>
    <t>Fourmizzz calculator!</t>
  </si>
  <si>
    <t>Temps P.</t>
  </si>
  <si>
    <t>Parametrage initial</t>
  </si>
  <si>
    <t>Tech.  Ponte</t>
  </si>
  <si>
    <t>Total</t>
  </si>
  <si>
    <t>totaux (hors Ouvrieres)</t>
  </si>
  <si>
    <t>NA</t>
  </si>
  <si>
    <t>Parametrage Secondaire</t>
  </si>
  <si>
    <t>Nouveau bonus</t>
  </si>
  <si>
    <t>Mon armee - avec nouveau bonus</t>
  </si>
  <si>
    <t>Temps Vie</t>
  </si>
  <si>
    <t>Temps Att.</t>
  </si>
  <si>
    <t>Temps Def.</t>
  </si>
  <si>
    <t>Dois-je monter mes bonus ou produire des armées?</t>
  </si>
  <si>
    <t>Temps de ponte Ouvrieres</t>
  </si>
  <si>
    <t>Nombre d'ouvrieres a sacrifier!</t>
  </si>
  <si>
    <t>Mon armée - avec bonus</t>
  </si>
  <si>
    <t>Quelle unité dois-je produire ?</t>
  </si>
  <si>
    <t>Je veux augmenter mon/ma :</t>
  </si>
  <si>
    <t>Unites a creer pour arriver a l'objectif</t>
  </si>
  <si>
    <t>Nb Unité</t>
  </si>
  <si>
    <t>Les cellules en blanc sont a remplir, le reste "Pas touche!"</t>
  </si>
  <si>
    <t>Jeune soldate N</t>
  </si>
  <si>
    <t>Si le tableau apparait en vert, il est plus rentable de pondre des guerrieres</t>
  </si>
  <si>
    <t>Gains (=Nouvelle Armee - Ancienne Armee)</t>
  </si>
  <si>
    <t>Equivalence :</t>
  </si>
  <si>
    <t xml:space="preserve">Min = </t>
  </si>
  <si>
    <t>La couleur orange vous indique ce qui est le plus rapide</t>
  </si>
  <si>
    <t>Bonus associés (en points)</t>
  </si>
  <si>
    <t>Si le temps de ponte depasse le mois, il sera inscrit "+ un mois".</t>
  </si>
  <si>
    <t xml:space="preserve">difference </t>
  </si>
  <si>
    <t>Soit il faut faire des guerrieres, soit faire baisser son temps de ponte.</t>
  </si>
  <si>
    <t>Mes stats actuel:</t>
  </si>
  <si>
    <t>Ratio</t>
  </si>
  <si>
    <t>Outils complémentaires!</t>
  </si>
  <si>
    <t>Armée</t>
  </si>
  <si>
    <t>Ma force de frappe (FDF)</t>
  </si>
  <si>
    <t>Etude de la réplique lors d'une attaque</t>
  </si>
  <si>
    <t>Réplique 100%</t>
  </si>
  <si>
    <t>Réplique 10%</t>
  </si>
  <si>
    <t>Tampon en JSN</t>
  </si>
  <si>
    <t>Si ma force de frappe est inférieur au point de vie de l'ennemi, sa réplique sera de 100%. Dans le cas contraire, seulement de 10%.</t>
  </si>
  <si>
    <t>Bouclier ennemi</t>
  </si>
  <si>
    <t>Arme ennemi</t>
  </si>
  <si>
    <t>JSN</t>
  </si>
  <si>
    <t>Que dois-je envoyer au minimum pour le battre?</t>
  </si>
  <si>
    <t>Nous prenons ici l'hypothese que l'ennemi a l'équivalent en vie de notre FDF.</t>
  </si>
  <si>
    <t>Si l'ennemi a plus de vie que notre FDF, nous perdrons au minimum:</t>
  </si>
  <si>
    <t>Si l'ennemi a moin de vie que notre FDF, nous perdrons au maximum:</t>
  </si>
  <si>
    <t>Hypothese : Je connais le détail des troupes ennemis (Renseigner le niveau de bouclier et d'arme a gauche)</t>
  </si>
  <si>
    <t>FDF ennemi (défense) :</t>
  </si>
  <si>
    <t xml:space="preserve">Vie ennemi : </t>
  </si>
  <si>
    <t>FDF (défense)</t>
  </si>
  <si>
    <t>Tampon</t>
  </si>
  <si>
    <t>Réplique : 10%</t>
  </si>
  <si>
    <t>Check:</t>
  </si>
  <si>
    <t xml:space="preserve">Nombre </t>
  </si>
  <si>
    <t>Hors concierges</t>
  </si>
  <si>
    <t>Donc il est normal qu'en augmentant son bouclier, il faille moins de tampon.</t>
  </si>
  <si>
    <t>Hellz copyright v1.4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</si>
</sst>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F400]h:mm:ss\ AM/PM"/>
    <numFmt numFmtId="166" formatCode="d&quot; j &quot;hh:mm:ss"/>
    <numFmt numFmtId="167" formatCode="#,##0.0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hiller"/>
      <family val="5"/>
    </font>
    <font>
      <b/>
      <sz val="11"/>
      <color theme="1"/>
      <name val="Bodoni MT Black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Chiller"/>
      <family val="5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Bodoni MT Black"/>
      <family val="1"/>
    </font>
    <font>
      <b/>
      <sz val="9"/>
      <color theme="1"/>
      <name val="Bodoni MT Black"/>
      <family val="1"/>
    </font>
    <font>
      <b/>
      <i/>
      <sz val="11"/>
      <color theme="1"/>
      <name val="Bodoni MT Black"/>
      <family val="1"/>
    </font>
    <font>
      <b/>
      <i/>
      <sz val="12"/>
      <color theme="1"/>
      <name val="Bodoni MT Black"/>
      <family val="1"/>
    </font>
    <font>
      <b/>
      <sz val="11"/>
      <color rgb="FFC00000"/>
      <name val="Bodoni MT Black"/>
      <family val="1"/>
    </font>
    <font>
      <b/>
      <sz val="12"/>
      <color theme="1"/>
      <name val="Bodoni MT Black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 diagonalUp="1" diagonalDown="1"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 style="thin">
        <color theme="1" tint="0.499984740745262"/>
      </diagonal>
    </border>
    <border>
      <left/>
      <right style="hair">
        <color theme="0"/>
      </right>
      <top/>
      <bottom/>
      <diagonal/>
    </border>
    <border>
      <left style="hair">
        <color theme="0" tint="-4.9989318521683403E-2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4" borderId="0" xfId="0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4" borderId="0" xfId="0" applyFill="1"/>
    <xf numFmtId="0" fontId="0" fillId="4" borderId="10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0" xfId="0" applyFill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4" fillId="4" borderId="22" xfId="0" applyFont="1" applyFill="1" applyBorder="1" applyAlignment="1"/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6" fillId="4" borderId="0" xfId="0" applyFont="1" applyFill="1" applyBorder="1"/>
    <xf numFmtId="0" fontId="2" fillId="4" borderId="0" xfId="0" applyFont="1" applyFill="1" applyAlignment="1">
      <alignment horizontal="right"/>
    </xf>
    <xf numFmtId="0" fontId="0" fillId="2" borderId="27" xfId="0" applyFill="1" applyBorder="1" applyAlignment="1">
      <alignment horizontal="center"/>
    </xf>
    <xf numFmtId="0" fontId="1" fillId="3" borderId="26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7" fillId="4" borderId="0" xfId="0" applyFont="1" applyFill="1" applyBorder="1"/>
    <xf numFmtId="166" fontId="0" fillId="2" borderId="16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4" fillId="4" borderId="0" xfId="0" applyFont="1" applyFill="1" applyBorder="1" applyAlignment="1"/>
    <xf numFmtId="3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3" fontId="0" fillId="2" borderId="20" xfId="0" applyNumberFormat="1" applyFont="1" applyFill="1" applyBorder="1" applyAlignment="1">
      <alignment horizontal="center"/>
    </xf>
    <xf numFmtId="0" fontId="8" fillId="4" borderId="11" xfId="0" applyFont="1" applyFill="1" applyBorder="1"/>
    <xf numFmtId="0" fontId="8" fillId="4" borderId="12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10" fillId="4" borderId="0" xfId="0" applyFont="1" applyFill="1" applyBorder="1" applyAlignment="1"/>
    <xf numFmtId="166" fontId="0" fillId="2" borderId="1" xfId="0" applyNumberFormat="1" applyFill="1" applyBorder="1" applyAlignment="1">
      <alignment horizontal="center"/>
    </xf>
    <xf numFmtId="3" fontId="0" fillId="2" borderId="29" xfId="0" applyNumberFormat="1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3" fontId="0" fillId="2" borderId="31" xfId="0" applyNumberFormat="1" applyFont="1" applyFill="1" applyBorder="1" applyAlignment="1">
      <alignment horizontal="center"/>
    </xf>
    <xf numFmtId="3" fontId="0" fillId="2" borderId="18" xfId="0" applyNumberFormat="1" applyFont="1" applyFill="1" applyBorder="1" applyAlignment="1">
      <alignment horizontal="center"/>
    </xf>
    <xf numFmtId="3" fontId="0" fillId="2" borderId="21" xfId="0" applyNumberFormat="1" applyFont="1" applyFill="1" applyBorder="1" applyAlignment="1">
      <alignment horizontal="center"/>
    </xf>
    <xf numFmtId="3" fontId="0" fillId="4" borderId="0" xfId="0" applyNumberFormat="1" applyFill="1" applyBorder="1"/>
    <xf numFmtId="0" fontId="11" fillId="4" borderId="0" xfId="0" applyFont="1" applyFill="1" applyBorder="1" applyAlignment="1"/>
    <xf numFmtId="0" fontId="9" fillId="4" borderId="22" xfId="0" applyFont="1" applyFill="1" applyBorder="1" applyAlignment="1"/>
    <xf numFmtId="0" fontId="0" fillId="2" borderId="32" xfId="0" applyFill="1" applyBorder="1" applyAlignment="1">
      <alignment horizontal="center"/>
    </xf>
    <xf numFmtId="0" fontId="12" fillId="4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6" borderId="16" xfId="0" applyNumberFormat="1" applyFill="1" applyBorder="1" applyAlignment="1">
      <alignment horizontal="center"/>
    </xf>
    <xf numFmtId="3" fontId="0" fillId="6" borderId="20" xfId="0" applyNumberFormat="1" applyFill="1" applyBorder="1" applyAlignment="1">
      <alignment horizontal="center"/>
    </xf>
    <xf numFmtId="3" fontId="0" fillId="2" borderId="27" xfId="0" applyNumberFormat="1" applyFill="1" applyBorder="1" applyAlignment="1">
      <alignment horizontal="center"/>
    </xf>
    <xf numFmtId="3" fontId="0" fillId="2" borderId="28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/>
    </xf>
    <xf numFmtId="3" fontId="0" fillId="2" borderId="34" xfId="0" applyNumberFormat="1" applyFill="1" applyBorder="1" applyAlignment="1">
      <alignment horizontal="center"/>
    </xf>
    <xf numFmtId="3" fontId="0" fillId="2" borderId="19" xfId="0" applyNumberFormat="1" applyFont="1" applyFill="1" applyBorder="1" applyAlignment="1">
      <alignment horizontal="center"/>
    </xf>
    <xf numFmtId="3" fontId="0" fillId="2" borderId="35" xfId="0" applyNumberFormat="1" applyFill="1" applyBorder="1" applyAlignment="1">
      <alignment horizontal="center"/>
    </xf>
    <xf numFmtId="3" fontId="0" fillId="6" borderId="24" xfId="0" applyNumberFormat="1" applyFill="1" applyBorder="1" applyAlignment="1">
      <alignment horizontal="center"/>
    </xf>
    <xf numFmtId="3" fontId="0" fillId="6" borderId="25" xfId="0" applyNumberFormat="1" applyFill="1" applyBorder="1" applyAlignment="1">
      <alignment horizontal="center"/>
    </xf>
    <xf numFmtId="3" fontId="4" fillId="4" borderId="22" xfId="0" applyNumberFormat="1" applyFont="1" applyFill="1" applyBorder="1" applyAlignment="1"/>
    <xf numFmtId="3" fontId="0" fillId="3" borderId="24" xfId="0" applyNumberForma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0" fontId="14" fillId="4" borderId="0" xfId="0" applyFont="1" applyFill="1" applyBorder="1" applyAlignment="1"/>
  </cellXfs>
  <cellStyles count="1">
    <cellStyle name="Normal" xfId="0" builtinId="0"/>
  </cellStyles>
  <dxfs count="33"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b/>
        <i val="0"/>
        <color rgb="FFC00000"/>
      </font>
      <fill>
        <patternFill patternType="solid">
          <bgColor theme="0" tint="-0.34998626667073579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b/>
        <i val="0"/>
        <color rgb="FFC00000"/>
      </font>
      <fill>
        <patternFill patternType="solid">
          <bgColor theme="0" tint="-0.24994659260841701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6" tint="-0.499984740745262"/>
      </font>
    </dxf>
    <dxf>
      <font>
        <b/>
        <i val="0"/>
        <color rgb="FFC00000"/>
      </font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bar"/>
        <c:grouping val="clustered"/>
        <c:ser>
          <c:idx val="0"/>
          <c:order val="0"/>
          <c:tx>
            <c:strRef>
              <c:f>'Calcule tes fourmis'!$P$16</c:f>
              <c:strCache>
                <c:ptCount val="1"/>
                <c:pt idx="0">
                  <c:v>Vie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fourmis'!$P$18:$P$31</c:f>
              <c:numCache>
                <c:formatCode>#,##0</c:formatCode>
                <c:ptCount val="14"/>
                <c:pt idx="0">
                  <c:v>8000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'Calcule tes fourmis'!$Q$16</c:f>
              <c:strCache>
                <c:ptCount val="1"/>
                <c:pt idx="0">
                  <c:v>Attaque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fourmis'!$Q$18:$Q$31</c:f>
              <c:numCache>
                <c:formatCode>#,##0</c:formatCode>
                <c:ptCount val="14"/>
                <c:pt idx="0">
                  <c:v>3000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'Calcule tes fourmis'!$R$16</c:f>
              <c:strCache>
                <c:ptCount val="1"/>
                <c:pt idx="0">
                  <c:v>Defense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fourmis'!$R$18:$R$31</c:f>
              <c:numCache>
                <c:formatCode>#,##0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7500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3762688"/>
        <c:axId val="93764224"/>
      </c:barChart>
      <c:catAx>
        <c:axId val="93762688"/>
        <c:scaling>
          <c:orientation val="minMax"/>
        </c:scaling>
        <c:axPos val="l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764224"/>
        <c:crosses val="autoZero"/>
        <c:auto val="1"/>
        <c:lblAlgn val="ctr"/>
        <c:lblOffset val="100"/>
      </c:catAx>
      <c:valAx>
        <c:axId val="93764224"/>
        <c:scaling>
          <c:orientation val="minMax"/>
        </c:scaling>
        <c:axPos val="b"/>
        <c:majorGridlines/>
        <c:numFmt formatCode="#,##0" sourceLinked="1"/>
        <c:tickLblPos val="nextTo"/>
        <c:crossAx val="9376268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85204448877830452"/>
          <c:y val="0.38780678690456366"/>
          <c:w val="0.11796636674653822"/>
          <c:h val="0.22438642619087398"/>
        </c:manualLayout>
      </c:layout>
    </c:legend>
    <c:plotVisOnly val="1"/>
  </c:chart>
  <c:spPr>
    <a:solidFill>
      <a:schemeClr val="bg1">
        <a:lumMod val="75000"/>
      </a:schemeClr>
    </a:solidFill>
    <a:ln>
      <a:solidFill>
        <a:schemeClr val="tx1">
          <a:lumMod val="65000"/>
          <a:lumOff val="3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666750</xdr:colOff>
      <xdr:row>53</xdr:row>
      <xdr:rowOff>177613</xdr:rowOff>
    </xdr:from>
    <xdr:to>
      <xdr:col>12</xdr:col>
      <xdr:colOff>235884</xdr:colOff>
      <xdr:row>57</xdr:row>
      <xdr:rowOff>82363</xdr:rowOff>
    </xdr:to>
    <xdr:sp macro="" textlink="">
      <xdr:nvSpPr>
        <xdr:cNvPr id="2" name="Chevron 1"/>
        <xdr:cNvSpPr/>
      </xdr:nvSpPr>
      <xdr:spPr>
        <a:xfrm>
          <a:off x="7535956" y="8906995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219075</xdr:colOff>
      <xdr:row>54</xdr:row>
      <xdr:rowOff>9525</xdr:rowOff>
    </xdr:from>
    <xdr:to>
      <xdr:col>16</xdr:col>
      <xdr:colOff>819150</xdr:colOff>
      <xdr:row>57</xdr:row>
      <xdr:rowOff>104775</xdr:rowOff>
    </xdr:to>
    <xdr:sp macro="" textlink="">
      <xdr:nvSpPr>
        <xdr:cNvPr id="3" name="Chevron 2"/>
        <xdr:cNvSpPr/>
      </xdr:nvSpPr>
      <xdr:spPr>
        <a:xfrm>
          <a:off x="1038225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302558</xdr:colOff>
      <xdr:row>14</xdr:row>
      <xdr:rowOff>179293</xdr:rowOff>
    </xdr:from>
    <xdr:to>
      <xdr:col>23</xdr:col>
      <xdr:colOff>963705</xdr:colOff>
      <xdr:row>31</xdr:row>
      <xdr:rowOff>11206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190501</xdr:colOff>
      <xdr:row>110</xdr:row>
      <xdr:rowOff>11207</xdr:rowOff>
    </xdr:from>
    <xdr:to>
      <xdr:col>6</xdr:col>
      <xdr:colOff>638736</xdr:colOff>
      <xdr:row>112</xdr:row>
      <xdr:rowOff>22413</xdr:rowOff>
    </xdr:to>
    <xdr:sp macro="" textlink="">
      <xdr:nvSpPr>
        <xdr:cNvPr id="5" name="Chevron 4"/>
        <xdr:cNvSpPr/>
      </xdr:nvSpPr>
      <xdr:spPr>
        <a:xfrm>
          <a:off x="3417795" y="19565472"/>
          <a:ext cx="448235" cy="392206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13"/>
  <sheetViews>
    <sheetView tabSelected="1" zoomScale="85" zoomScaleNormal="85" workbookViewId="0">
      <selection activeCell="I11" sqref="I11"/>
    </sheetView>
  </sheetViews>
  <sheetFormatPr defaultRowHeight="15"/>
  <cols>
    <col min="1" max="1" width="2.7109375" style="28" customWidth="1"/>
    <col min="2" max="2" width="1.140625" style="28" customWidth="1"/>
    <col min="3" max="3" width="13.28515625" style="28" customWidth="1"/>
    <col min="4" max="4" width="11.85546875" style="28" customWidth="1"/>
    <col min="5" max="5" width="9.140625" style="28"/>
    <col min="6" max="6" width="12.85546875" style="28" bestFit="1" customWidth="1"/>
    <col min="7" max="7" width="10.5703125" style="28" customWidth="1"/>
    <col min="8" max="8" width="12.7109375" style="28" customWidth="1"/>
    <col min="9" max="9" width="14.42578125" style="28" customWidth="1"/>
    <col min="10" max="10" width="13" style="37" customWidth="1"/>
    <col min="11" max="11" width="13.85546875" style="28" customWidth="1"/>
    <col min="12" max="12" width="15.42578125" style="28" bestFit="1" customWidth="1"/>
    <col min="13" max="13" width="13.42578125" style="28" customWidth="1"/>
    <col min="14" max="14" width="14.5703125" style="28" bestFit="1" customWidth="1"/>
    <col min="15" max="15" width="15.140625" style="28" customWidth="1"/>
    <col min="16" max="19" width="14.5703125" style="28" customWidth="1"/>
    <col min="20" max="20" width="12.85546875" style="28" customWidth="1"/>
    <col min="21" max="21" width="14.5703125" style="28" customWidth="1"/>
    <col min="22" max="23" width="15.140625" style="28" bestFit="1" customWidth="1"/>
    <col min="24" max="24" width="15.7109375" style="28" customWidth="1"/>
    <col min="25" max="25" width="3.140625" style="28" customWidth="1"/>
    <col min="26" max="16384" width="9.140625" style="28"/>
  </cols>
  <sheetData>
    <row r="1" spans="2:25" ht="3.75" customHeight="1"/>
    <row r="2" spans="2:25" ht="48">
      <c r="B2" s="17"/>
      <c r="C2" s="81" t="s">
        <v>25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60"/>
      <c r="Y2" s="61" t="s">
        <v>84</v>
      </c>
    </row>
    <row r="3" spans="2:25" ht="3.75" customHeight="1"/>
    <row r="4" spans="2:25" ht="3" customHeight="1">
      <c r="B4" s="18"/>
      <c r="C4" s="19"/>
      <c r="D4" s="19"/>
      <c r="E4" s="19"/>
      <c r="F4" s="19"/>
      <c r="G4" s="19"/>
      <c r="H4" s="19"/>
      <c r="I4" s="19"/>
      <c r="J4" s="38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/>
    </row>
    <row r="5" spans="2:25">
      <c r="B5" s="21"/>
      <c r="C5" s="1"/>
      <c r="D5" s="82" t="s">
        <v>27</v>
      </c>
      <c r="E5" s="82"/>
      <c r="F5" s="82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2"/>
    </row>
    <row r="6" spans="2:25" ht="5.25" customHeight="1">
      <c r="B6" s="21"/>
      <c r="C6" s="1"/>
      <c r="D6" s="1"/>
      <c r="E6" s="23"/>
      <c r="F6" s="23"/>
      <c r="G6" s="23"/>
      <c r="H6" s="1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2"/>
    </row>
    <row r="7" spans="2:25" ht="15.75">
      <c r="B7" s="21"/>
      <c r="C7" s="3" t="s">
        <v>0</v>
      </c>
      <c r="D7" s="84"/>
      <c r="E7" s="3" t="s">
        <v>2</v>
      </c>
      <c r="F7" s="84"/>
      <c r="G7" s="16"/>
      <c r="H7" s="16"/>
      <c r="I7" s="16"/>
      <c r="J7" s="39"/>
      <c r="K7" s="1"/>
      <c r="L7" s="77" t="s">
        <v>46</v>
      </c>
      <c r="M7" s="55"/>
      <c r="N7" s="55"/>
      <c r="O7" s="1"/>
      <c r="P7" s="1"/>
      <c r="Q7" s="1"/>
      <c r="R7" s="1"/>
      <c r="S7" s="1"/>
      <c r="T7" s="1"/>
      <c r="U7" s="1"/>
      <c r="V7" s="1"/>
      <c r="W7" s="1"/>
      <c r="X7" s="1"/>
      <c r="Y7" s="22"/>
    </row>
    <row r="8" spans="2:25" ht="3.75" customHeight="1">
      <c r="B8" s="21"/>
      <c r="C8" s="3"/>
      <c r="D8" s="4"/>
      <c r="E8" s="24"/>
      <c r="F8" s="4"/>
      <c r="G8" s="16"/>
      <c r="H8" s="16"/>
      <c r="I8" s="16"/>
      <c r="J8" s="3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2"/>
    </row>
    <row r="9" spans="2:25">
      <c r="B9" s="21"/>
      <c r="C9" s="3" t="s">
        <v>1</v>
      </c>
      <c r="D9" s="84"/>
      <c r="E9" s="3" t="s">
        <v>3</v>
      </c>
      <c r="F9" s="84"/>
      <c r="G9" s="16"/>
      <c r="H9" s="16"/>
      <c r="I9" s="16"/>
      <c r="J9" s="3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2"/>
    </row>
    <row r="10" spans="2:25" ht="3.75" customHeight="1">
      <c r="B10" s="21"/>
      <c r="C10" s="3"/>
      <c r="D10" s="4"/>
      <c r="E10" s="3"/>
      <c r="F10" s="4"/>
      <c r="G10" s="16"/>
      <c r="H10" s="16"/>
      <c r="I10" s="16"/>
      <c r="J10" s="3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2"/>
    </row>
    <row r="11" spans="2:25">
      <c r="B11" s="21"/>
      <c r="C11" s="3" t="s">
        <v>28</v>
      </c>
      <c r="D11" s="84"/>
      <c r="E11" s="16"/>
      <c r="F11" s="16"/>
      <c r="G11" s="16"/>
      <c r="H11" s="16"/>
      <c r="I11" s="16"/>
      <c r="J11" s="3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2"/>
    </row>
    <row r="12" spans="2:25" ht="3.75" customHeight="1">
      <c r="B12" s="21"/>
      <c r="C12" s="24"/>
      <c r="D12" s="4"/>
      <c r="E12" s="16"/>
      <c r="F12" s="16"/>
      <c r="G12" s="16"/>
      <c r="H12" s="16"/>
      <c r="I12" s="16"/>
      <c r="J12" s="3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2"/>
    </row>
    <row r="13" spans="2:25">
      <c r="B13" s="21"/>
      <c r="C13" s="3" t="s">
        <v>29</v>
      </c>
      <c r="D13" s="15">
        <f>SUM(D7+D9+D11)</f>
        <v>0</v>
      </c>
      <c r="E13" s="16"/>
      <c r="F13" s="16"/>
      <c r="G13" s="16"/>
      <c r="H13" s="16"/>
      <c r="I13" s="16"/>
      <c r="J13" s="3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2"/>
    </row>
    <row r="14" spans="2:25" ht="4.5" customHeight="1">
      <c r="B14" s="21"/>
      <c r="C14" s="1"/>
      <c r="D14" s="1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2"/>
    </row>
    <row r="15" spans="2:25">
      <c r="B15" s="21"/>
      <c r="C15" s="82" t="s">
        <v>19</v>
      </c>
      <c r="D15" s="82"/>
      <c r="E15" s="82"/>
      <c r="F15" s="82"/>
      <c r="G15" s="82"/>
      <c r="H15" s="4"/>
      <c r="I15" s="82" t="s">
        <v>20</v>
      </c>
      <c r="J15" s="82"/>
      <c r="K15" s="82"/>
      <c r="L15" s="82"/>
      <c r="M15" s="1"/>
      <c r="N15" s="83" t="s">
        <v>41</v>
      </c>
      <c r="O15" s="83"/>
      <c r="P15" s="83"/>
      <c r="Q15" s="83"/>
      <c r="R15" s="83"/>
      <c r="S15" s="1"/>
      <c r="T15" s="1"/>
      <c r="U15" s="1"/>
      <c r="V15" s="1"/>
      <c r="W15" s="1"/>
      <c r="X15" s="1"/>
      <c r="Y15" s="22"/>
    </row>
    <row r="16" spans="2:25">
      <c r="B16" s="21"/>
      <c r="C16" s="29" t="s">
        <v>60</v>
      </c>
      <c r="D16" s="30" t="s">
        <v>16</v>
      </c>
      <c r="E16" s="30" t="s">
        <v>17</v>
      </c>
      <c r="F16" s="30" t="s">
        <v>18</v>
      </c>
      <c r="G16" s="31" t="s">
        <v>26</v>
      </c>
      <c r="H16" s="2"/>
      <c r="I16" s="29" t="s">
        <v>16</v>
      </c>
      <c r="J16" s="30" t="s">
        <v>17</v>
      </c>
      <c r="K16" s="30" t="s">
        <v>18</v>
      </c>
      <c r="L16" s="31" t="s">
        <v>26</v>
      </c>
      <c r="M16" s="1"/>
      <c r="N16" s="29" t="s">
        <v>23</v>
      </c>
      <c r="O16" s="30" t="s">
        <v>24</v>
      </c>
      <c r="P16" s="30" t="s">
        <v>16</v>
      </c>
      <c r="Q16" s="30" t="s">
        <v>17</v>
      </c>
      <c r="R16" s="31" t="s">
        <v>18</v>
      </c>
      <c r="S16" s="1"/>
      <c r="T16" s="1"/>
      <c r="U16" s="1"/>
      <c r="V16" s="1"/>
      <c r="W16" s="1"/>
      <c r="X16" s="1"/>
      <c r="Y16" s="22"/>
    </row>
    <row r="17" spans="2:25">
      <c r="B17" s="21"/>
      <c r="C17" s="13" t="s">
        <v>4</v>
      </c>
      <c r="D17" s="5">
        <v>0</v>
      </c>
      <c r="E17" s="5">
        <v>0</v>
      </c>
      <c r="F17" s="5">
        <v>0</v>
      </c>
      <c r="G17" s="6">
        <v>60</v>
      </c>
      <c r="H17" s="4"/>
      <c r="I17" s="9">
        <v>0</v>
      </c>
      <c r="J17" s="5">
        <v>0</v>
      </c>
      <c r="K17" s="5">
        <v>0</v>
      </c>
      <c r="L17" s="11">
        <f t="shared" ref="L17:L31" si="0">G17*0.9^D$13</f>
        <v>60</v>
      </c>
      <c r="M17" s="1"/>
      <c r="N17" s="13" t="s">
        <v>4</v>
      </c>
      <c r="O17" s="86"/>
      <c r="P17" s="5" t="s">
        <v>31</v>
      </c>
      <c r="Q17" s="5" t="s">
        <v>31</v>
      </c>
      <c r="R17" s="11" t="s">
        <v>31</v>
      </c>
      <c r="S17" s="1"/>
      <c r="T17" s="1"/>
      <c r="U17" s="1"/>
      <c r="V17" s="1"/>
      <c r="W17" s="1"/>
      <c r="X17" s="1"/>
      <c r="Y17" s="22"/>
    </row>
    <row r="18" spans="2:25">
      <c r="B18" s="21"/>
      <c r="C18" s="13" t="s">
        <v>47</v>
      </c>
      <c r="D18" s="5">
        <v>8</v>
      </c>
      <c r="E18" s="5">
        <v>3</v>
      </c>
      <c r="F18" s="5">
        <v>2</v>
      </c>
      <c r="G18" s="6">
        <v>300</v>
      </c>
      <c r="H18" s="4"/>
      <c r="I18" s="9">
        <f t="shared" ref="I18:I31" si="1">D18+D18*F$7/10</f>
        <v>8</v>
      </c>
      <c r="J18" s="5">
        <f t="shared" ref="J18:J31" si="2">E18+E18*F$9/10</f>
        <v>3</v>
      </c>
      <c r="K18" s="5">
        <f t="shared" ref="K18:K31" si="3">F18+F18*F$9/10</f>
        <v>2</v>
      </c>
      <c r="L18" s="11">
        <f t="shared" si="0"/>
        <v>300</v>
      </c>
      <c r="M18" s="1"/>
      <c r="N18" s="13" t="s">
        <v>47</v>
      </c>
      <c r="O18" s="86">
        <v>1000</v>
      </c>
      <c r="P18" s="33">
        <f>$O18*I18</f>
        <v>8000</v>
      </c>
      <c r="Q18" s="33">
        <f t="shared" ref="Q18:R18" si="4">$O18*J18</f>
        <v>3000</v>
      </c>
      <c r="R18" s="34">
        <f t="shared" si="4"/>
        <v>2000</v>
      </c>
      <c r="S18" s="1"/>
      <c r="T18" s="1"/>
      <c r="U18" s="1"/>
      <c r="V18" s="1"/>
      <c r="W18" s="1"/>
      <c r="X18" s="1"/>
      <c r="Y18" s="22"/>
    </row>
    <row r="19" spans="2:25">
      <c r="B19" s="21"/>
      <c r="C19" s="13" t="s">
        <v>5</v>
      </c>
      <c r="D19" s="5">
        <v>10</v>
      </c>
      <c r="E19" s="5">
        <v>5</v>
      </c>
      <c r="F19" s="5">
        <v>4</v>
      </c>
      <c r="G19" s="6">
        <v>450</v>
      </c>
      <c r="H19" s="4"/>
      <c r="I19" s="9">
        <f t="shared" si="1"/>
        <v>10</v>
      </c>
      <c r="J19" s="5">
        <f t="shared" si="2"/>
        <v>5</v>
      </c>
      <c r="K19" s="5">
        <f t="shared" si="3"/>
        <v>4</v>
      </c>
      <c r="L19" s="11">
        <f t="shared" si="0"/>
        <v>450</v>
      </c>
      <c r="M19" s="1"/>
      <c r="N19" s="13" t="s">
        <v>5</v>
      </c>
      <c r="O19" s="86"/>
      <c r="P19" s="33">
        <f t="shared" ref="P19:P31" si="5">$O19*I19</f>
        <v>0</v>
      </c>
      <c r="Q19" s="33">
        <f t="shared" ref="Q19:Q31" si="6">$O19*J19</f>
        <v>0</v>
      </c>
      <c r="R19" s="34">
        <f t="shared" ref="R19:R31" si="7">$O19*K19</f>
        <v>0</v>
      </c>
      <c r="S19" s="1"/>
      <c r="T19" s="1"/>
      <c r="U19" s="1"/>
      <c r="V19" s="1"/>
      <c r="W19" s="1"/>
      <c r="X19" s="1"/>
      <c r="Y19" s="22"/>
    </row>
    <row r="20" spans="2:25">
      <c r="B20" s="21"/>
      <c r="C20" s="13" t="s">
        <v>6</v>
      </c>
      <c r="D20" s="5">
        <v>13</v>
      </c>
      <c r="E20" s="5">
        <v>7</v>
      </c>
      <c r="F20" s="5">
        <v>6</v>
      </c>
      <c r="G20" s="6">
        <v>570</v>
      </c>
      <c r="H20" s="4"/>
      <c r="I20" s="9">
        <f t="shared" si="1"/>
        <v>13</v>
      </c>
      <c r="J20" s="5">
        <f t="shared" si="2"/>
        <v>7</v>
      </c>
      <c r="K20" s="5">
        <f t="shared" si="3"/>
        <v>6</v>
      </c>
      <c r="L20" s="11">
        <f t="shared" si="0"/>
        <v>570</v>
      </c>
      <c r="M20" s="1"/>
      <c r="N20" s="13" t="s">
        <v>6</v>
      </c>
      <c r="O20" s="86"/>
      <c r="P20" s="33">
        <f t="shared" si="5"/>
        <v>0</v>
      </c>
      <c r="Q20" s="33">
        <f t="shared" si="6"/>
        <v>0</v>
      </c>
      <c r="R20" s="34">
        <f t="shared" si="7"/>
        <v>0</v>
      </c>
      <c r="S20" s="1"/>
      <c r="T20" s="1"/>
      <c r="U20" s="1"/>
      <c r="V20" s="1"/>
      <c r="W20" s="1"/>
      <c r="X20" s="1"/>
      <c r="Y20" s="22"/>
    </row>
    <row r="21" spans="2:25">
      <c r="B21" s="21"/>
      <c r="C21" s="13" t="s">
        <v>7</v>
      </c>
      <c r="D21" s="5">
        <v>16</v>
      </c>
      <c r="E21" s="5">
        <v>10</v>
      </c>
      <c r="F21" s="5">
        <v>9</v>
      </c>
      <c r="G21" s="6">
        <v>740</v>
      </c>
      <c r="H21" s="4"/>
      <c r="I21" s="9">
        <f t="shared" si="1"/>
        <v>16</v>
      </c>
      <c r="J21" s="5">
        <f t="shared" si="2"/>
        <v>10</v>
      </c>
      <c r="K21" s="5">
        <f t="shared" si="3"/>
        <v>9</v>
      </c>
      <c r="L21" s="11">
        <f t="shared" si="0"/>
        <v>740</v>
      </c>
      <c r="M21" s="1"/>
      <c r="N21" s="13" t="s">
        <v>7</v>
      </c>
      <c r="O21" s="86"/>
      <c r="P21" s="33">
        <f t="shared" si="5"/>
        <v>0</v>
      </c>
      <c r="Q21" s="33">
        <f t="shared" si="6"/>
        <v>0</v>
      </c>
      <c r="R21" s="34">
        <f t="shared" si="7"/>
        <v>0</v>
      </c>
      <c r="S21" s="1"/>
      <c r="T21" s="1"/>
      <c r="U21" s="1"/>
      <c r="V21" s="1"/>
      <c r="W21" s="1"/>
      <c r="X21" s="1"/>
      <c r="Y21" s="22"/>
    </row>
    <row r="22" spans="2:25">
      <c r="B22" s="21"/>
      <c r="C22" s="13" t="s">
        <v>8</v>
      </c>
      <c r="D22" s="5">
        <v>20</v>
      </c>
      <c r="E22" s="5">
        <v>15</v>
      </c>
      <c r="F22" s="5">
        <v>14</v>
      </c>
      <c r="G22" s="6">
        <v>1000</v>
      </c>
      <c r="H22" s="4"/>
      <c r="I22" s="9">
        <f t="shared" si="1"/>
        <v>20</v>
      </c>
      <c r="J22" s="5">
        <f t="shared" si="2"/>
        <v>15</v>
      </c>
      <c r="K22" s="5">
        <f t="shared" si="3"/>
        <v>14</v>
      </c>
      <c r="L22" s="11">
        <f t="shared" si="0"/>
        <v>1000</v>
      </c>
      <c r="M22" s="1"/>
      <c r="N22" s="13" t="s">
        <v>8</v>
      </c>
      <c r="O22" s="86"/>
      <c r="P22" s="33">
        <f t="shared" si="5"/>
        <v>0</v>
      </c>
      <c r="Q22" s="33">
        <f t="shared" si="6"/>
        <v>0</v>
      </c>
      <c r="R22" s="34">
        <f t="shared" si="7"/>
        <v>0</v>
      </c>
      <c r="S22" s="1"/>
      <c r="T22" s="1"/>
      <c r="U22" s="1"/>
      <c r="V22" s="1"/>
      <c r="W22" s="1"/>
      <c r="X22" s="1"/>
      <c r="Y22" s="22"/>
    </row>
    <row r="23" spans="2:25">
      <c r="B23" s="21"/>
      <c r="C23" s="13" t="s">
        <v>21</v>
      </c>
      <c r="D23" s="5">
        <v>27</v>
      </c>
      <c r="E23" s="5">
        <v>24</v>
      </c>
      <c r="F23" s="5">
        <v>23</v>
      </c>
      <c r="G23" s="6">
        <v>1450</v>
      </c>
      <c r="H23" s="4"/>
      <c r="I23" s="9">
        <f t="shared" si="1"/>
        <v>27</v>
      </c>
      <c r="J23" s="5">
        <f t="shared" si="2"/>
        <v>24</v>
      </c>
      <c r="K23" s="5">
        <f t="shared" si="3"/>
        <v>23</v>
      </c>
      <c r="L23" s="11">
        <f t="shared" si="0"/>
        <v>1450</v>
      </c>
      <c r="M23" s="1"/>
      <c r="N23" s="13" t="s">
        <v>21</v>
      </c>
      <c r="O23" s="86"/>
      <c r="P23" s="33">
        <f t="shared" si="5"/>
        <v>0</v>
      </c>
      <c r="Q23" s="33">
        <f t="shared" si="6"/>
        <v>0</v>
      </c>
      <c r="R23" s="34">
        <f t="shared" si="7"/>
        <v>0</v>
      </c>
      <c r="S23" s="1"/>
      <c r="T23" s="1"/>
      <c r="U23" s="1"/>
      <c r="V23" s="1"/>
      <c r="W23" s="1"/>
      <c r="X23" s="1"/>
      <c r="Y23" s="22"/>
    </row>
    <row r="24" spans="2:25">
      <c r="B24" s="21"/>
      <c r="C24" s="13" t="s">
        <v>9</v>
      </c>
      <c r="D24" s="5">
        <v>30</v>
      </c>
      <c r="E24" s="5">
        <v>1</v>
      </c>
      <c r="F24" s="5">
        <v>25</v>
      </c>
      <c r="G24" s="6">
        <v>1410</v>
      </c>
      <c r="H24" s="4"/>
      <c r="I24" s="9">
        <f t="shared" si="1"/>
        <v>30</v>
      </c>
      <c r="J24" s="5">
        <f t="shared" si="2"/>
        <v>1</v>
      </c>
      <c r="K24" s="5">
        <f t="shared" si="3"/>
        <v>25</v>
      </c>
      <c r="L24" s="11">
        <f t="shared" si="0"/>
        <v>1410</v>
      </c>
      <c r="M24" s="1"/>
      <c r="N24" s="13" t="s">
        <v>9</v>
      </c>
      <c r="O24" s="86"/>
      <c r="P24" s="33">
        <f t="shared" si="5"/>
        <v>0</v>
      </c>
      <c r="Q24" s="33">
        <f t="shared" si="6"/>
        <v>0</v>
      </c>
      <c r="R24" s="34">
        <f t="shared" si="7"/>
        <v>0</v>
      </c>
      <c r="S24" s="1"/>
      <c r="T24" s="1"/>
      <c r="U24" s="1"/>
      <c r="V24" s="1"/>
      <c r="W24" s="1"/>
      <c r="X24" s="1"/>
      <c r="Y24" s="22"/>
    </row>
    <row r="25" spans="2:25">
      <c r="B25" s="21"/>
      <c r="C25" s="13" t="s">
        <v>22</v>
      </c>
      <c r="D25" s="5">
        <v>40</v>
      </c>
      <c r="E25" s="5">
        <v>1</v>
      </c>
      <c r="F25" s="5">
        <v>35</v>
      </c>
      <c r="G25" s="6"/>
      <c r="H25" s="4"/>
      <c r="I25" s="9">
        <f t="shared" si="1"/>
        <v>40</v>
      </c>
      <c r="J25" s="5">
        <f t="shared" si="2"/>
        <v>1</v>
      </c>
      <c r="K25" s="5">
        <f t="shared" si="3"/>
        <v>35</v>
      </c>
      <c r="L25" s="11">
        <f t="shared" si="0"/>
        <v>0</v>
      </c>
      <c r="M25" s="1"/>
      <c r="N25" s="13" t="s">
        <v>22</v>
      </c>
      <c r="O25" s="86"/>
      <c r="P25" s="33">
        <f t="shared" si="5"/>
        <v>0</v>
      </c>
      <c r="Q25" s="33">
        <f t="shared" si="6"/>
        <v>0</v>
      </c>
      <c r="R25" s="34">
        <f t="shared" si="7"/>
        <v>0</v>
      </c>
      <c r="S25" s="1"/>
      <c r="T25" s="1"/>
      <c r="U25" s="1"/>
      <c r="V25" s="1"/>
      <c r="W25" s="1"/>
      <c r="X25" s="1"/>
      <c r="Y25" s="22"/>
    </row>
    <row r="26" spans="2:25">
      <c r="B26" s="21"/>
      <c r="C26" s="13" t="s">
        <v>10</v>
      </c>
      <c r="D26" s="5">
        <v>10</v>
      </c>
      <c r="E26" s="5">
        <v>30</v>
      </c>
      <c r="F26" s="5">
        <v>15</v>
      </c>
      <c r="G26" s="6">
        <v>1440</v>
      </c>
      <c r="H26" s="4"/>
      <c r="I26" s="9">
        <f t="shared" si="1"/>
        <v>10</v>
      </c>
      <c r="J26" s="5">
        <f t="shared" si="2"/>
        <v>30</v>
      </c>
      <c r="K26" s="5">
        <f t="shared" si="3"/>
        <v>15</v>
      </c>
      <c r="L26" s="11">
        <f t="shared" si="0"/>
        <v>1440</v>
      </c>
      <c r="M26" s="1"/>
      <c r="N26" s="13" t="s">
        <v>10</v>
      </c>
      <c r="O26" s="86">
        <v>500</v>
      </c>
      <c r="P26" s="33">
        <f t="shared" si="5"/>
        <v>5000</v>
      </c>
      <c r="Q26" s="33">
        <f t="shared" si="6"/>
        <v>15000</v>
      </c>
      <c r="R26" s="34">
        <f t="shared" si="7"/>
        <v>7500</v>
      </c>
      <c r="S26" s="1"/>
      <c r="T26" s="1"/>
      <c r="U26" s="1"/>
      <c r="V26" s="1"/>
      <c r="W26" s="1"/>
      <c r="X26" s="1"/>
      <c r="Y26" s="22"/>
    </row>
    <row r="27" spans="2:25">
      <c r="B27" s="21"/>
      <c r="C27" s="13" t="s">
        <v>11</v>
      </c>
      <c r="D27" s="5">
        <v>12</v>
      </c>
      <c r="E27" s="5">
        <v>35</v>
      </c>
      <c r="F27" s="5">
        <v>18</v>
      </c>
      <c r="G27" s="6">
        <v>1520</v>
      </c>
      <c r="H27" s="4"/>
      <c r="I27" s="9">
        <f t="shared" si="1"/>
        <v>12</v>
      </c>
      <c r="J27" s="5">
        <f t="shared" si="2"/>
        <v>35</v>
      </c>
      <c r="K27" s="5">
        <f t="shared" si="3"/>
        <v>18</v>
      </c>
      <c r="L27" s="11">
        <f t="shared" si="0"/>
        <v>1520</v>
      </c>
      <c r="M27" s="1"/>
      <c r="N27" s="13" t="s">
        <v>11</v>
      </c>
      <c r="O27" s="86"/>
      <c r="P27" s="33">
        <f t="shared" si="5"/>
        <v>0</v>
      </c>
      <c r="Q27" s="33">
        <f t="shared" si="6"/>
        <v>0</v>
      </c>
      <c r="R27" s="34">
        <f t="shared" si="7"/>
        <v>0</v>
      </c>
      <c r="S27" s="1"/>
      <c r="T27" s="1"/>
      <c r="U27" s="1"/>
      <c r="V27" s="1"/>
      <c r="W27" s="1"/>
      <c r="X27" s="1"/>
      <c r="Y27" s="22"/>
    </row>
    <row r="28" spans="2:25">
      <c r="B28" s="21"/>
      <c r="C28" s="13" t="s">
        <v>12</v>
      </c>
      <c r="D28" s="5">
        <v>35</v>
      </c>
      <c r="E28" s="5">
        <v>55</v>
      </c>
      <c r="F28" s="5">
        <v>1</v>
      </c>
      <c r="G28" s="6">
        <v>1860</v>
      </c>
      <c r="H28" s="4"/>
      <c r="I28" s="9">
        <f t="shared" si="1"/>
        <v>35</v>
      </c>
      <c r="J28" s="5">
        <f t="shared" si="2"/>
        <v>55</v>
      </c>
      <c r="K28" s="5">
        <f t="shared" si="3"/>
        <v>1</v>
      </c>
      <c r="L28" s="11">
        <f t="shared" si="0"/>
        <v>1860</v>
      </c>
      <c r="M28" s="1"/>
      <c r="N28" s="13" t="s">
        <v>12</v>
      </c>
      <c r="O28" s="86"/>
      <c r="P28" s="33">
        <f t="shared" si="5"/>
        <v>0</v>
      </c>
      <c r="Q28" s="33">
        <f t="shared" si="6"/>
        <v>0</v>
      </c>
      <c r="R28" s="34">
        <f t="shared" si="7"/>
        <v>0</v>
      </c>
      <c r="S28" s="1"/>
      <c r="T28" s="1"/>
      <c r="U28" s="1"/>
      <c r="V28" s="1"/>
      <c r="W28" s="1"/>
      <c r="X28" s="1"/>
      <c r="Y28" s="22"/>
    </row>
    <row r="29" spans="2:25">
      <c r="B29" s="21"/>
      <c r="C29" s="13" t="s">
        <v>13</v>
      </c>
      <c r="D29" s="5">
        <v>50</v>
      </c>
      <c r="E29" s="5">
        <v>80</v>
      </c>
      <c r="F29" s="5">
        <v>1</v>
      </c>
      <c r="G29" s="6"/>
      <c r="H29" s="4"/>
      <c r="I29" s="9">
        <f t="shared" si="1"/>
        <v>50</v>
      </c>
      <c r="J29" s="5">
        <f t="shared" si="2"/>
        <v>80</v>
      </c>
      <c r="K29" s="5">
        <f t="shared" si="3"/>
        <v>1</v>
      </c>
      <c r="L29" s="11">
        <f t="shared" si="0"/>
        <v>0</v>
      </c>
      <c r="M29" s="1"/>
      <c r="N29" s="13" t="s">
        <v>13</v>
      </c>
      <c r="O29" s="86"/>
      <c r="P29" s="33">
        <f t="shared" si="5"/>
        <v>0</v>
      </c>
      <c r="Q29" s="33">
        <f t="shared" si="6"/>
        <v>0</v>
      </c>
      <c r="R29" s="34">
        <f t="shared" si="7"/>
        <v>0</v>
      </c>
      <c r="S29" s="1"/>
      <c r="T29" s="1"/>
      <c r="U29" s="1"/>
      <c r="V29" s="1"/>
      <c r="W29" s="1"/>
      <c r="X29" s="1"/>
      <c r="Y29" s="22"/>
    </row>
    <row r="30" spans="2:25">
      <c r="B30" s="21"/>
      <c r="C30" s="13" t="s">
        <v>14</v>
      </c>
      <c r="D30" s="5">
        <v>50</v>
      </c>
      <c r="E30" s="5">
        <v>50</v>
      </c>
      <c r="F30" s="5">
        <v>50</v>
      </c>
      <c r="G30" s="6">
        <v>2740</v>
      </c>
      <c r="H30" s="4"/>
      <c r="I30" s="9">
        <f t="shared" si="1"/>
        <v>50</v>
      </c>
      <c r="J30" s="5">
        <f t="shared" si="2"/>
        <v>50</v>
      </c>
      <c r="K30" s="5">
        <f t="shared" si="3"/>
        <v>50</v>
      </c>
      <c r="L30" s="11">
        <f t="shared" si="0"/>
        <v>2740</v>
      </c>
      <c r="M30" s="1"/>
      <c r="N30" s="13" t="s">
        <v>14</v>
      </c>
      <c r="O30" s="86"/>
      <c r="P30" s="33">
        <f t="shared" si="5"/>
        <v>0</v>
      </c>
      <c r="Q30" s="33">
        <f t="shared" si="6"/>
        <v>0</v>
      </c>
      <c r="R30" s="34">
        <f t="shared" si="7"/>
        <v>0</v>
      </c>
      <c r="S30" s="1"/>
      <c r="T30" s="1"/>
      <c r="U30" s="1"/>
      <c r="V30" s="1"/>
      <c r="W30" s="1"/>
      <c r="X30" s="1"/>
      <c r="Y30" s="22"/>
    </row>
    <row r="31" spans="2:25">
      <c r="B31" s="21"/>
      <c r="C31" s="14" t="s">
        <v>15</v>
      </c>
      <c r="D31" s="7">
        <v>55</v>
      </c>
      <c r="E31" s="7">
        <v>55</v>
      </c>
      <c r="F31" s="7">
        <v>55</v>
      </c>
      <c r="G31" s="8">
        <v>2740</v>
      </c>
      <c r="H31" s="4"/>
      <c r="I31" s="10">
        <f t="shared" si="1"/>
        <v>55</v>
      </c>
      <c r="J31" s="7">
        <f t="shared" si="2"/>
        <v>55</v>
      </c>
      <c r="K31" s="7">
        <f t="shared" si="3"/>
        <v>55</v>
      </c>
      <c r="L31" s="12">
        <f t="shared" si="0"/>
        <v>2740</v>
      </c>
      <c r="M31" s="1"/>
      <c r="N31" s="14" t="s">
        <v>15</v>
      </c>
      <c r="O31" s="87"/>
      <c r="P31" s="35">
        <f t="shared" si="5"/>
        <v>0</v>
      </c>
      <c r="Q31" s="35">
        <f t="shared" si="6"/>
        <v>0</v>
      </c>
      <c r="R31" s="36">
        <f t="shared" si="7"/>
        <v>0</v>
      </c>
      <c r="S31" s="1"/>
      <c r="T31" s="1"/>
      <c r="U31" s="1"/>
      <c r="V31" s="1"/>
      <c r="W31" s="1"/>
      <c r="X31" s="1"/>
      <c r="Y31" s="22"/>
    </row>
    <row r="32" spans="2:25">
      <c r="B32" s="21"/>
      <c r="C32" s="1"/>
      <c r="D32" s="1"/>
      <c r="E32" s="1"/>
      <c r="F32" s="1"/>
      <c r="G32" s="4"/>
      <c r="H32" s="1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</row>
    <row r="33" spans="2:25">
      <c r="B33" s="21"/>
      <c r="C33" s="1"/>
      <c r="D33" s="1"/>
      <c r="E33" s="1"/>
      <c r="F33" s="1"/>
      <c r="G33" s="1"/>
      <c r="H33" s="1"/>
      <c r="I33" s="1"/>
      <c r="J33" s="4"/>
      <c r="K33" s="1"/>
      <c r="L33" s="1"/>
      <c r="M33" s="1"/>
      <c r="N33" s="3" t="s">
        <v>30</v>
      </c>
      <c r="O33" s="56">
        <f>SUM(O18:O31)</f>
        <v>1500</v>
      </c>
      <c r="P33" s="56">
        <f>SUM(P18:P31)</f>
        <v>13000</v>
      </c>
      <c r="Q33" s="56">
        <f t="shared" ref="Q33:R33" si="8">SUM(Q18:Q31)</f>
        <v>18000</v>
      </c>
      <c r="R33" s="56">
        <f t="shared" si="8"/>
        <v>9500</v>
      </c>
      <c r="S33" s="1"/>
      <c r="T33" s="1"/>
      <c r="U33" s="1"/>
      <c r="V33" s="1"/>
      <c r="W33" s="1"/>
      <c r="X33" s="1"/>
      <c r="Y33" s="22"/>
    </row>
    <row r="34" spans="2:25" ht="6" customHeight="1">
      <c r="B34" s="25"/>
      <c r="C34" s="26"/>
      <c r="D34" s="26"/>
      <c r="E34" s="26"/>
      <c r="F34" s="26"/>
      <c r="G34" s="26"/>
      <c r="H34" s="26"/>
      <c r="I34" s="26"/>
      <c r="J34" s="4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7"/>
    </row>
    <row r="35" spans="2:25" ht="3.75" customHeight="1"/>
    <row r="36" spans="2:25" ht="5.25" customHeight="1">
      <c r="B36" s="18"/>
      <c r="C36" s="19"/>
      <c r="D36" s="19"/>
      <c r="E36" s="19"/>
      <c r="F36" s="19"/>
      <c r="G36" s="19"/>
      <c r="H36" s="19"/>
      <c r="I36" s="19"/>
      <c r="J36" s="3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/>
    </row>
    <row r="37" spans="2:25" ht="29.25">
      <c r="B37" s="21"/>
      <c r="C37" s="1"/>
      <c r="D37" s="1"/>
      <c r="E37" s="1"/>
      <c r="F37" s="1"/>
      <c r="G37" s="1"/>
      <c r="H37" s="1"/>
      <c r="I37" s="1"/>
      <c r="J37" s="4"/>
      <c r="K37" s="46" t="s">
        <v>38</v>
      </c>
      <c r="L37" s="1"/>
      <c r="M37" s="1"/>
      <c r="N37" s="1"/>
      <c r="O37" s="1"/>
      <c r="P37" s="55"/>
      <c r="Q37" s="74" t="s">
        <v>54</v>
      </c>
      <c r="R37" s="1"/>
      <c r="S37" s="1"/>
      <c r="T37" s="1"/>
      <c r="U37" s="1"/>
      <c r="V37" s="1"/>
      <c r="W37" s="1"/>
      <c r="X37" s="1"/>
      <c r="Y37" s="22"/>
    </row>
    <row r="38" spans="2:25">
      <c r="B38" s="21"/>
      <c r="C38" s="1"/>
      <c r="D38" s="82" t="s">
        <v>32</v>
      </c>
      <c r="E38" s="82"/>
      <c r="F38" s="82"/>
      <c r="G38" s="1"/>
      <c r="H38" s="1"/>
      <c r="I38" s="51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2"/>
    </row>
    <row r="39" spans="2:25" ht="5.25" customHeight="1">
      <c r="B39" s="21"/>
      <c r="C39" s="1"/>
      <c r="D39" s="1"/>
      <c r="E39" s="23"/>
      <c r="F39" s="23"/>
      <c r="G39" s="23"/>
      <c r="H39" s="1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2"/>
    </row>
    <row r="40" spans="2:25">
      <c r="B40" s="21"/>
      <c r="C40" s="3" t="s">
        <v>0</v>
      </c>
      <c r="D40" s="76">
        <f>D7</f>
        <v>0</v>
      </c>
      <c r="E40" s="3" t="s">
        <v>2</v>
      </c>
      <c r="F40" s="84"/>
      <c r="G40" s="16"/>
      <c r="H40" s="16"/>
      <c r="I40" s="16"/>
      <c r="J40" s="47"/>
      <c r="K40" s="47" t="s">
        <v>40</v>
      </c>
      <c r="L40" s="85"/>
      <c r="M40" s="1"/>
      <c r="N40" s="1"/>
      <c r="O40" s="47" t="s">
        <v>39</v>
      </c>
      <c r="P40" s="79">
        <f>IF(L40*L17/86400&gt;2592000/86400, "+ un mois", L40*L17/86400)</f>
        <v>0</v>
      </c>
      <c r="Q40" s="80"/>
      <c r="R40" s="1"/>
      <c r="S40" s="55" t="s">
        <v>48</v>
      </c>
      <c r="T40" s="1"/>
      <c r="U40" s="1"/>
      <c r="V40" s="1"/>
      <c r="W40" s="1"/>
      <c r="X40" s="1"/>
      <c r="Y40" s="22"/>
    </row>
    <row r="41" spans="2:25" ht="5.25" customHeight="1">
      <c r="B41" s="21"/>
      <c r="C41" s="3"/>
      <c r="D41" s="4"/>
      <c r="E41" s="24"/>
      <c r="F41" s="4"/>
      <c r="G41" s="16"/>
      <c r="H41" s="16"/>
      <c r="I41" s="16"/>
      <c r="J41" s="3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2"/>
    </row>
    <row r="42" spans="2:25">
      <c r="B42" s="21"/>
      <c r="C42" s="3" t="s">
        <v>1</v>
      </c>
      <c r="D42" s="76">
        <f>D9</f>
        <v>0</v>
      </c>
      <c r="E42" s="3" t="s">
        <v>3</v>
      </c>
      <c r="F42" s="84"/>
      <c r="G42" s="16"/>
      <c r="H42" s="16"/>
      <c r="I42" s="16"/>
      <c r="J42" s="1"/>
      <c r="K42" s="1"/>
      <c r="L42" s="1"/>
      <c r="M42" s="1"/>
      <c r="N42" s="1"/>
      <c r="O42" s="1"/>
      <c r="P42" s="1"/>
      <c r="Q42" s="1"/>
      <c r="R42" s="1"/>
      <c r="S42" s="55" t="s">
        <v>56</v>
      </c>
      <c r="T42" s="1"/>
      <c r="U42" s="1"/>
      <c r="V42" s="1"/>
      <c r="W42" s="1"/>
      <c r="X42" s="1"/>
      <c r="Y42" s="22"/>
    </row>
    <row r="43" spans="2:25" ht="5.25" customHeight="1">
      <c r="B43" s="21"/>
      <c r="C43" s="3"/>
      <c r="D43" s="4"/>
      <c r="E43" s="3"/>
      <c r="F43" s="4"/>
      <c r="G43" s="16"/>
      <c r="H43" s="16"/>
      <c r="I43" s="16"/>
      <c r="J43" s="3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2"/>
    </row>
    <row r="44" spans="2:25">
      <c r="B44" s="21"/>
      <c r="C44" s="3" t="s">
        <v>28</v>
      </c>
      <c r="D44" s="76">
        <f>D11</f>
        <v>0</v>
      </c>
      <c r="E44" s="16"/>
      <c r="F44" s="16"/>
      <c r="G44" s="16"/>
      <c r="H44" s="16"/>
      <c r="I44" s="16"/>
      <c r="J44" s="3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73"/>
      <c r="X44" s="1"/>
      <c r="Y44" s="22"/>
    </row>
    <row r="45" spans="2:25" ht="5.25" customHeight="1">
      <c r="B45" s="21"/>
      <c r="C45" s="24"/>
      <c r="D45" s="4"/>
      <c r="E45" s="16"/>
      <c r="F45" s="16"/>
      <c r="G45" s="16"/>
      <c r="H45" s="16"/>
      <c r="I45" s="16"/>
      <c r="J45" s="39"/>
      <c r="K45" s="1"/>
      <c r="L45" s="1"/>
      <c r="M45" s="1"/>
      <c r="N45" s="1"/>
      <c r="O45" s="1"/>
      <c r="P45" s="1"/>
      <c r="Q45" s="1"/>
      <c r="R45" s="1"/>
      <c r="S45" s="55"/>
      <c r="T45" s="1"/>
      <c r="U45" s="1"/>
      <c r="V45" s="1"/>
      <c r="W45" s="1"/>
      <c r="X45" s="1"/>
      <c r="Y45" s="22"/>
    </row>
    <row r="46" spans="2:25">
      <c r="B46" s="21"/>
      <c r="C46" s="3" t="s">
        <v>29</v>
      </c>
      <c r="D46" s="76">
        <f>D13</f>
        <v>0</v>
      </c>
      <c r="E46" s="16"/>
      <c r="F46" s="16"/>
      <c r="G46" s="16"/>
      <c r="H46" s="16"/>
      <c r="I46" s="16"/>
      <c r="J46" s="39"/>
      <c r="K46" s="1"/>
      <c r="L46" s="1"/>
      <c r="M46" s="1"/>
      <c r="N46" s="1"/>
      <c r="O46" s="1"/>
      <c r="P46" s="1"/>
      <c r="Q46" s="1"/>
      <c r="R46" s="63"/>
      <c r="S46" s="55" t="s">
        <v>52</v>
      </c>
      <c r="T46" s="55"/>
      <c r="U46" s="55"/>
      <c r="V46" s="1"/>
      <c r="W46" s="1"/>
      <c r="X46" s="1"/>
      <c r="Y46" s="22"/>
    </row>
    <row r="47" spans="2:25" ht="5.25" customHeight="1">
      <c r="B47" s="21"/>
      <c r="C47" s="1"/>
      <c r="D47" s="1"/>
      <c r="E47" s="1"/>
      <c r="F47" s="1"/>
      <c r="G47" s="1"/>
      <c r="H47" s="1"/>
      <c r="I47" s="16"/>
      <c r="J47" s="3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2"/>
    </row>
    <row r="48" spans="2:25">
      <c r="B48" s="21"/>
      <c r="C48" s="32"/>
      <c r="D48" s="83" t="s">
        <v>33</v>
      </c>
      <c r="E48" s="83"/>
      <c r="F48" s="83"/>
      <c r="G48" s="83"/>
      <c r="H48" s="4"/>
      <c r="I48" s="32" t="s">
        <v>34</v>
      </c>
      <c r="J48" s="32"/>
      <c r="K48" s="32"/>
      <c r="L48" s="1"/>
      <c r="M48" s="1"/>
      <c r="N48" s="32" t="s">
        <v>49</v>
      </c>
      <c r="O48" s="1"/>
      <c r="P48" s="1"/>
      <c r="Q48" s="1"/>
      <c r="R48" s="32" t="s">
        <v>50</v>
      </c>
      <c r="S48" s="75" t="str">
        <f>"+ "&amp;N66&amp;" en VIE, + " &amp;O66&amp;" en ATTAQUE et + "&amp;P66&amp;" en DEFENSE):"</f>
        <v>+ 0 en VIE, + 0 en ATTAQUE et + 0 en DEFENSE):</v>
      </c>
      <c r="T48" s="1"/>
      <c r="U48" s="1"/>
      <c r="V48" s="1"/>
      <c r="W48" s="1"/>
      <c r="X48" s="1"/>
      <c r="Y48" s="22"/>
    </row>
    <row r="49" spans="2:25">
      <c r="B49" s="21"/>
      <c r="C49" s="29" t="s">
        <v>60</v>
      </c>
      <c r="D49" s="29" t="s">
        <v>16</v>
      </c>
      <c r="E49" s="30" t="s">
        <v>17</v>
      </c>
      <c r="F49" s="30" t="s">
        <v>18</v>
      </c>
      <c r="G49" s="31" t="s">
        <v>26</v>
      </c>
      <c r="H49" s="2"/>
      <c r="I49" s="41" t="s">
        <v>16</v>
      </c>
      <c r="J49" s="30" t="s">
        <v>17</v>
      </c>
      <c r="K49" s="31" t="s">
        <v>18</v>
      </c>
      <c r="L49" s="1"/>
      <c r="M49" s="1"/>
      <c r="N49" s="41" t="s">
        <v>16</v>
      </c>
      <c r="O49" s="30" t="s">
        <v>17</v>
      </c>
      <c r="P49" s="31" t="s">
        <v>18</v>
      </c>
      <c r="Q49" s="1"/>
      <c r="R49" s="29" t="s">
        <v>60</v>
      </c>
      <c r="S49" s="41" t="s">
        <v>16</v>
      </c>
      <c r="T49" s="49" t="s">
        <v>17</v>
      </c>
      <c r="U49" s="30" t="s">
        <v>18</v>
      </c>
      <c r="V49" s="30" t="s">
        <v>35</v>
      </c>
      <c r="W49" s="30" t="s">
        <v>36</v>
      </c>
      <c r="X49" s="31" t="s">
        <v>37</v>
      </c>
      <c r="Y49" s="22"/>
    </row>
    <row r="50" spans="2:25">
      <c r="B50" s="21"/>
      <c r="C50" s="13" t="s">
        <v>4</v>
      </c>
      <c r="D50" s="9">
        <v>0</v>
      </c>
      <c r="E50" s="5">
        <v>0</v>
      </c>
      <c r="F50" s="5">
        <v>0</v>
      </c>
      <c r="G50" s="11">
        <f>G17*0.9^$D$46</f>
        <v>60</v>
      </c>
      <c r="H50" s="4"/>
      <c r="I50" s="42" t="s">
        <v>31</v>
      </c>
      <c r="J50" s="5" t="s">
        <v>31</v>
      </c>
      <c r="K50" s="11" t="s">
        <v>31</v>
      </c>
      <c r="L50" s="1"/>
      <c r="M50" s="1"/>
      <c r="N50" s="42" t="s">
        <v>31</v>
      </c>
      <c r="O50" s="5" t="s">
        <v>31</v>
      </c>
      <c r="P50" s="11" t="s">
        <v>31</v>
      </c>
      <c r="Q50" s="1"/>
      <c r="R50" s="50" t="s">
        <v>4</v>
      </c>
      <c r="S50" s="42" t="s">
        <v>31</v>
      </c>
      <c r="T50" s="48" t="s">
        <v>31</v>
      </c>
      <c r="U50" s="5" t="s">
        <v>31</v>
      </c>
      <c r="V50" s="5" t="s">
        <v>31</v>
      </c>
      <c r="W50" s="5" t="s">
        <v>31</v>
      </c>
      <c r="X50" s="45" t="s">
        <v>31</v>
      </c>
      <c r="Y50" s="22"/>
    </row>
    <row r="51" spans="2:25">
      <c r="B51" s="21"/>
      <c r="C51" s="13" t="s">
        <v>47</v>
      </c>
      <c r="D51" s="9">
        <f t="shared" ref="D51:D64" si="9">D18+D18*$F$40/10</f>
        <v>8</v>
      </c>
      <c r="E51" s="5">
        <f t="shared" ref="E51:F64" si="10">E18+E18*$F$42/10</f>
        <v>3</v>
      </c>
      <c r="F51" s="5">
        <f t="shared" si="10"/>
        <v>2</v>
      </c>
      <c r="G51" s="11">
        <f>G18*0.9^$D$46</f>
        <v>300</v>
      </c>
      <c r="H51" s="4"/>
      <c r="I51" s="43">
        <f t="shared" ref="I51:I64" si="11">O18*D51</f>
        <v>8000</v>
      </c>
      <c r="J51" s="33">
        <f t="shared" ref="J51:J64" si="12">O18*E51</f>
        <v>3000</v>
      </c>
      <c r="K51" s="34">
        <f t="shared" ref="K51:K64" si="13">O18*F51</f>
        <v>2000</v>
      </c>
      <c r="L51" s="1"/>
      <c r="M51" s="1"/>
      <c r="N51" s="43">
        <f t="shared" ref="N51:N64" si="14">I51-P18</f>
        <v>0</v>
      </c>
      <c r="O51" s="33">
        <f t="shared" ref="O51:P51" si="15">J51-Q18</f>
        <v>0</v>
      </c>
      <c r="P51" s="34">
        <f t="shared" si="15"/>
        <v>0</v>
      </c>
      <c r="Q51" s="1"/>
      <c r="R51" s="13" t="s">
        <v>47</v>
      </c>
      <c r="S51" s="43">
        <f>N$66/$I18</f>
        <v>0</v>
      </c>
      <c r="T51" s="88">
        <f>O$66/J18</f>
        <v>0</v>
      </c>
      <c r="U51" s="33">
        <f t="shared" ref="U51:U57" si="16">P$66/$K18</f>
        <v>0</v>
      </c>
      <c r="V51" s="52">
        <f t="shared" ref="V51:V57" si="17">S51*L18/86400</f>
        <v>0</v>
      </c>
      <c r="W51" s="52">
        <f>IF(T51*L18/86400&gt;2592000/86400, "+ un mois", T51*L18/86400)</f>
        <v>0</v>
      </c>
      <c r="X51" s="53">
        <f t="shared" ref="X51:X60" si="18">IF(U51*L18/86400&gt;2592000/86400,"+ un mois",U51*L18/86400)</f>
        <v>0</v>
      </c>
      <c r="Y51" s="22"/>
    </row>
    <row r="52" spans="2:25">
      <c r="B52" s="21"/>
      <c r="C52" s="13" t="s">
        <v>5</v>
      </c>
      <c r="D52" s="9">
        <f t="shared" si="9"/>
        <v>10</v>
      </c>
      <c r="E52" s="5">
        <f t="shared" si="10"/>
        <v>5</v>
      </c>
      <c r="F52" s="5">
        <f t="shared" si="10"/>
        <v>4</v>
      </c>
      <c r="G52" s="11">
        <f t="shared" ref="G52:G64" si="19">G19*0.9^$D$46</f>
        <v>450</v>
      </c>
      <c r="H52" s="4"/>
      <c r="I52" s="43">
        <f t="shared" si="11"/>
        <v>0</v>
      </c>
      <c r="J52" s="33">
        <f t="shared" si="12"/>
        <v>0</v>
      </c>
      <c r="K52" s="34">
        <f t="shared" si="13"/>
        <v>0</v>
      </c>
      <c r="L52" s="1"/>
      <c r="M52" s="1"/>
      <c r="N52" s="43">
        <f t="shared" si="14"/>
        <v>0</v>
      </c>
      <c r="O52" s="33">
        <f t="shared" ref="O52:O64" si="20">J52-Q19</f>
        <v>0</v>
      </c>
      <c r="P52" s="34">
        <f t="shared" ref="P52:P64" si="21">K52-R19</f>
        <v>0</v>
      </c>
      <c r="Q52" s="1"/>
      <c r="R52" s="13" t="s">
        <v>5</v>
      </c>
      <c r="S52" s="43">
        <f t="shared" ref="S52:S64" si="22">N$66/I19</f>
        <v>0</v>
      </c>
      <c r="T52" s="88">
        <f t="shared" ref="T52:T64" si="23">O$66/J19</f>
        <v>0</v>
      </c>
      <c r="U52" s="33">
        <f t="shared" si="16"/>
        <v>0</v>
      </c>
      <c r="V52" s="52">
        <f t="shared" si="17"/>
        <v>0</v>
      </c>
      <c r="W52" s="52">
        <f t="shared" ref="W52:W64" si="24">IF(T52*L19/86400&gt;2592000/86400, "+ un mois", T52*L19/86400)</f>
        <v>0</v>
      </c>
      <c r="X52" s="53">
        <f t="shared" si="18"/>
        <v>0</v>
      </c>
      <c r="Y52" s="22"/>
    </row>
    <row r="53" spans="2:25">
      <c r="B53" s="21"/>
      <c r="C53" s="13" t="s">
        <v>6</v>
      </c>
      <c r="D53" s="9">
        <f t="shared" si="9"/>
        <v>13</v>
      </c>
      <c r="E53" s="5">
        <f t="shared" si="10"/>
        <v>7</v>
      </c>
      <c r="F53" s="5">
        <f t="shared" si="10"/>
        <v>6</v>
      </c>
      <c r="G53" s="11">
        <f t="shared" si="19"/>
        <v>570</v>
      </c>
      <c r="H53" s="4"/>
      <c r="I53" s="43">
        <f t="shared" si="11"/>
        <v>0</v>
      </c>
      <c r="J53" s="33">
        <f t="shared" si="12"/>
        <v>0</v>
      </c>
      <c r="K53" s="34">
        <f t="shared" si="13"/>
        <v>0</v>
      </c>
      <c r="L53" s="1"/>
      <c r="M53" s="1"/>
      <c r="N53" s="43">
        <f t="shared" si="14"/>
        <v>0</v>
      </c>
      <c r="O53" s="33">
        <f t="shared" si="20"/>
        <v>0</v>
      </c>
      <c r="P53" s="34">
        <f t="shared" si="21"/>
        <v>0</v>
      </c>
      <c r="Q53" s="1"/>
      <c r="R53" s="13" t="s">
        <v>6</v>
      </c>
      <c r="S53" s="43">
        <f t="shared" si="22"/>
        <v>0</v>
      </c>
      <c r="T53" s="88">
        <f t="shared" si="23"/>
        <v>0</v>
      </c>
      <c r="U53" s="33">
        <f t="shared" si="16"/>
        <v>0</v>
      </c>
      <c r="V53" s="52">
        <f t="shared" si="17"/>
        <v>0</v>
      </c>
      <c r="W53" s="52">
        <f t="shared" si="24"/>
        <v>0</v>
      </c>
      <c r="X53" s="53">
        <f t="shared" si="18"/>
        <v>0</v>
      </c>
      <c r="Y53" s="22"/>
    </row>
    <row r="54" spans="2:25">
      <c r="B54" s="21"/>
      <c r="C54" s="13" t="s">
        <v>7</v>
      </c>
      <c r="D54" s="9">
        <f t="shared" si="9"/>
        <v>16</v>
      </c>
      <c r="E54" s="5">
        <f t="shared" si="10"/>
        <v>10</v>
      </c>
      <c r="F54" s="5">
        <f t="shared" si="10"/>
        <v>9</v>
      </c>
      <c r="G54" s="11">
        <f t="shared" si="19"/>
        <v>740</v>
      </c>
      <c r="H54" s="4"/>
      <c r="I54" s="43">
        <f t="shared" si="11"/>
        <v>0</v>
      </c>
      <c r="J54" s="33">
        <f t="shared" si="12"/>
        <v>0</v>
      </c>
      <c r="K54" s="34">
        <f t="shared" si="13"/>
        <v>0</v>
      </c>
      <c r="L54" s="1"/>
      <c r="M54" s="1"/>
      <c r="N54" s="43">
        <f t="shared" si="14"/>
        <v>0</v>
      </c>
      <c r="O54" s="33">
        <f t="shared" si="20"/>
        <v>0</v>
      </c>
      <c r="P54" s="34">
        <f t="shared" si="21"/>
        <v>0</v>
      </c>
      <c r="Q54" s="1"/>
      <c r="R54" s="13" t="s">
        <v>7</v>
      </c>
      <c r="S54" s="43">
        <f t="shared" si="22"/>
        <v>0</v>
      </c>
      <c r="T54" s="88">
        <f t="shared" si="23"/>
        <v>0</v>
      </c>
      <c r="U54" s="33">
        <f t="shared" si="16"/>
        <v>0</v>
      </c>
      <c r="V54" s="52">
        <f t="shared" si="17"/>
        <v>0</v>
      </c>
      <c r="W54" s="52">
        <f t="shared" si="24"/>
        <v>0</v>
      </c>
      <c r="X54" s="53">
        <f t="shared" si="18"/>
        <v>0</v>
      </c>
      <c r="Y54" s="22"/>
    </row>
    <row r="55" spans="2:25">
      <c r="B55" s="21"/>
      <c r="C55" s="13" t="s">
        <v>8</v>
      </c>
      <c r="D55" s="9">
        <f t="shared" si="9"/>
        <v>20</v>
      </c>
      <c r="E55" s="5">
        <f t="shared" si="10"/>
        <v>15</v>
      </c>
      <c r="F55" s="5">
        <f t="shared" si="10"/>
        <v>14</v>
      </c>
      <c r="G55" s="11">
        <f t="shared" si="19"/>
        <v>1000</v>
      </c>
      <c r="H55" s="4"/>
      <c r="I55" s="43">
        <f t="shared" si="11"/>
        <v>0</v>
      </c>
      <c r="J55" s="33">
        <f t="shared" si="12"/>
        <v>0</v>
      </c>
      <c r="K55" s="34">
        <f t="shared" si="13"/>
        <v>0</v>
      </c>
      <c r="L55" s="1"/>
      <c r="M55" s="1"/>
      <c r="N55" s="43">
        <f t="shared" si="14"/>
        <v>0</v>
      </c>
      <c r="O55" s="33">
        <f t="shared" si="20"/>
        <v>0</v>
      </c>
      <c r="P55" s="34">
        <f t="shared" si="21"/>
        <v>0</v>
      </c>
      <c r="Q55" s="1"/>
      <c r="R55" s="13" t="s">
        <v>8</v>
      </c>
      <c r="S55" s="43">
        <f t="shared" si="22"/>
        <v>0</v>
      </c>
      <c r="T55" s="88">
        <f t="shared" si="23"/>
        <v>0</v>
      </c>
      <c r="U55" s="33">
        <f t="shared" si="16"/>
        <v>0</v>
      </c>
      <c r="V55" s="52">
        <f t="shared" si="17"/>
        <v>0</v>
      </c>
      <c r="W55" s="52">
        <f t="shared" si="24"/>
        <v>0</v>
      </c>
      <c r="X55" s="53">
        <f t="shared" si="18"/>
        <v>0</v>
      </c>
      <c r="Y55" s="22"/>
    </row>
    <row r="56" spans="2:25">
      <c r="B56" s="21"/>
      <c r="C56" s="13" t="s">
        <v>21</v>
      </c>
      <c r="D56" s="9">
        <f t="shared" si="9"/>
        <v>27</v>
      </c>
      <c r="E56" s="5">
        <f t="shared" si="10"/>
        <v>24</v>
      </c>
      <c r="F56" s="5">
        <f t="shared" si="10"/>
        <v>23</v>
      </c>
      <c r="G56" s="11">
        <f t="shared" si="19"/>
        <v>1450</v>
      </c>
      <c r="H56" s="4"/>
      <c r="I56" s="43">
        <f t="shared" si="11"/>
        <v>0</v>
      </c>
      <c r="J56" s="33">
        <f t="shared" si="12"/>
        <v>0</v>
      </c>
      <c r="K56" s="34">
        <f t="shared" si="13"/>
        <v>0</v>
      </c>
      <c r="L56" s="1"/>
      <c r="M56" s="1"/>
      <c r="N56" s="43">
        <f t="shared" si="14"/>
        <v>0</v>
      </c>
      <c r="O56" s="33">
        <f t="shared" si="20"/>
        <v>0</v>
      </c>
      <c r="P56" s="34">
        <f t="shared" si="21"/>
        <v>0</v>
      </c>
      <c r="Q56" s="1"/>
      <c r="R56" s="13" t="s">
        <v>21</v>
      </c>
      <c r="S56" s="43">
        <f t="shared" si="22"/>
        <v>0</v>
      </c>
      <c r="T56" s="88">
        <f t="shared" si="23"/>
        <v>0</v>
      </c>
      <c r="U56" s="33">
        <f t="shared" si="16"/>
        <v>0</v>
      </c>
      <c r="V56" s="52">
        <f t="shared" si="17"/>
        <v>0</v>
      </c>
      <c r="W56" s="52">
        <f t="shared" si="24"/>
        <v>0</v>
      </c>
      <c r="X56" s="53">
        <f t="shared" si="18"/>
        <v>0</v>
      </c>
      <c r="Y56" s="22"/>
    </row>
    <row r="57" spans="2:25">
      <c r="B57" s="21"/>
      <c r="C57" s="13" t="s">
        <v>9</v>
      </c>
      <c r="D57" s="9">
        <f t="shared" si="9"/>
        <v>30</v>
      </c>
      <c r="E57" s="5">
        <f t="shared" si="10"/>
        <v>1</v>
      </c>
      <c r="F57" s="5">
        <f t="shared" si="10"/>
        <v>25</v>
      </c>
      <c r="G57" s="11">
        <f t="shared" si="19"/>
        <v>1410</v>
      </c>
      <c r="H57" s="4"/>
      <c r="I57" s="43">
        <f t="shared" si="11"/>
        <v>0</v>
      </c>
      <c r="J57" s="33">
        <f t="shared" si="12"/>
        <v>0</v>
      </c>
      <c r="K57" s="34">
        <f t="shared" si="13"/>
        <v>0</v>
      </c>
      <c r="L57" s="1"/>
      <c r="M57" s="1"/>
      <c r="N57" s="43">
        <f t="shared" si="14"/>
        <v>0</v>
      </c>
      <c r="O57" s="33">
        <f t="shared" si="20"/>
        <v>0</v>
      </c>
      <c r="P57" s="34">
        <f t="shared" si="21"/>
        <v>0</v>
      </c>
      <c r="Q57" s="1"/>
      <c r="R57" s="13" t="s">
        <v>9</v>
      </c>
      <c r="S57" s="43">
        <f t="shared" si="22"/>
        <v>0</v>
      </c>
      <c r="T57" s="88">
        <f t="shared" si="23"/>
        <v>0</v>
      </c>
      <c r="U57" s="33">
        <f t="shared" si="16"/>
        <v>0</v>
      </c>
      <c r="V57" s="52">
        <f t="shared" si="17"/>
        <v>0</v>
      </c>
      <c r="W57" s="52">
        <f t="shared" si="24"/>
        <v>0</v>
      </c>
      <c r="X57" s="53">
        <f t="shared" si="18"/>
        <v>0</v>
      </c>
      <c r="Y57" s="22"/>
    </row>
    <row r="58" spans="2:25">
      <c r="B58" s="21"/>
      <c r="C58" s="13" t="s">
        <v>22</v>
      </c>
      <c r="D58" s="9">
        <f t="shared" si="9"/>
        <v>40</v>
      </c>
      <c r="E58" s="5">
        <f t="shared" si="10"/>
        <v>1</v>
      </c>
      <c r="F58" s="5">
        <f t="shared" si="10"/>
        <v>35</v>
      </c>
      <c r="G58" s="11">
        <f t="shared" si="19"/>
        <v>0</v>
      </c>
      <c r="H58" s="4"/>
      <c r="I58" s="43">
        <f t="shared" si="11"/>
        <v>0</v>
      </c>
      <c r="J58" s="33">
        <f t="shared" si="12"/>
        <v>0</v>
      </c>
      <c r="K58" s="34">
        <f t="shared" si="13"/>
        <v>0</v>
      </c>
      <c r="L58" s="1"/>
      <c r="M58" s="1"/>
      <c r="N58" s="43">
        <f t="shared" si="14"/>
        <v>0</v>
      </c>
      <c r="O58" s="33">
        <f t="shared" si="20"/>
        <v>0</v>
      </c>
      <c r="P58" s="34">
        <f t="shared" si="21"/>
        <v>0</v>
      </c>
      <c r="Q58" s="1"/>
      <c r="R58" s="13" t="s">
        <v>22</v>
      </c>
      <c r="S58" s="43">
        <f t="shared" si="22"/>
        <v>0</v>
      </c>
      <c r="T58" s="88"/>
      <c r="U58" s="33"/>
      <c r="V58" s="52"/>
      <c r="W58" s="52"/>
      <c r="X58" s="53"/>
      <c r="Y58" s="22"/>
    </row>
    <row r="59" spans="2:25">
      <c r="B59" s="21"/>
      <c r="C59" s="13" t="s">
        <v>10</v>
      </c>
      <c r="D59" s="9">
        <f t="shared" si="9"/>
        <v>10</v>
      </c>
      <c r="E59" s="5">
        <f t="shared" si="10"/>
        <v>30</v>
      </c>
      <c r="F59" s="5">
        <f t="shared" si="10"/>
        <v>15</v>
      </c>
      <c r="G59" s="11">
        <f t="shared" si="19"/>
        <v>1440</v>
      </c>
      <c r="H59" s="4"/>
      <c r="I59" s="43">
        <f t="shared" si="11"/>
        <v>5000</v>
      </c>
      <c r="J59" s="33">
        <f t="shared" si="12"/>
        <v>15000</v>
      </c>
      <c r="K59" s="34">
        <f t="shared" si="13"/>
        <v>7500</v>
      </c>
      <c r="L59" s="1"/>
      <c r="M59" s="1"/>
      <c r="N59" s="43">
        <f t="shared" si="14"/>
        <v>0</v>
      </c>
      <c r="O59" s="33">
        <f t="shared" si="20"/>
        <v>0</v>
      </c>
      <c r="P59" s="34">
        <f t="shared" si="21"/>
        <v>0</v>
      </c>
      <c r="Q59" s="1"/>
      <c r="R59" s="13" t="s">
        <v>10</v>
      </c>
      <c r="S59" s="43">
        <f t="shared" si="22"/>
        <v>0</v>
      </c>
      <c r="T59" s="88">
        <f t="shared" si="23"/>
        <v>0</v>
      </c>
      <c r="U59" s="33">
        <f>P$66/$K26</f>
        <v>0</v>
      </c>
      <c r="V59" s="52">
        <f>S59*L26/86400</f>
        <v>0</v>
      </c>
      <c r="W59" s="52">
        <f t="shared" si="24"/>
        <v>0</v>
      </c>
      <c r="X59" s="53">
        <f t="shared" si="18"/>
        <v>0</v>
      </c>
      <c r="Y59" s="22"/>
    </row>
    <row r="60" spans="2:25">
      <c r="B60" s="21"/>
      <c r="C60" s="13" t="s">
        <v>11</v>
      </c>
      <c r="D60" s="9">
        <f t="shared" si="9"/>
        <v>12</v>
      </c>
      <c r="E60" s="5">
        <f t="shared" si="10"/>
        <v>35</v>
      </c>
      <c r="F60" s="5">
        <f t="shared" si="10"/>
        <v>18</v>
      </c>
      <c r="G60" s="11">
        <f t="shared" si="19"/>
        <v>1520</v>
      </c>
      <c r="H60" s="4"/>
      <c r="I60" s="43">
        <f t="shared" si="11"/>
        <v>0</v>
      </c>
      <c r="J60" s="33">
        <f t="shared" si="12"/>
        <v>0</v>
      </c>
      <c r="K60" s="34">
        <f t="shared" si="13"/>
        <v>0</v>
      </c>
      <c r="L60" s="1"/>
      <c r="M60" s="1"/>
      <c r="N60" s="43">
        <f t="shared" si="14"/>
        <v>0</v>
      </c>
      <c r="O60" s="33">
        <f t="shared" si="20"/>
        <v>0</v>
      </c>
      <c r="P60" s="34">
        <f t="shared" si="21"/>
        <v>0</v>
      </c>
      <c r="Q60" s="1"/>
      <c r="R60" s="13" t="s">
        <v>11</v>
      </c>
      <c r="S60" s="43">
        <f t="shared" si="22"/>
        <v>0</v>
      </c>
      <c r="T60" s="88">
        <f t="shared" si="23"/>
        <v>0</v>
      </c>
      <c r="U60" s="33">
        <f>P$66/$K27</f>
        <v>0</v>
      </c>
      <c r="V60" s="52">
        <f>S60*L27/86400</f>
        <v>0</v>
      </c>
      <c r="W60" s="52">
        <f t="shared" si="24"/>
        <v>0</v>
      </c>
      <c r="X60" s="53">
        <f t="shared" si="18"/>
        <v>0</v>
      </c>
      <c r="Y60" s="22"/>
    </row>
    <row r="61" spans="2:25">
      <c r="B61" s="21"/>
      <c r="C61" s="13" t="s">
        <v>12</v>
      </c>
      <c r="D61" s="9">
        <f t="shared" si="9"/>
        <v>35</v>
      </c>
      <c r="E61" s="5">
        <f t="shared" si="10"/>
        <v>55</v>
      </c>
      <c r="F61" s="5">
        <f t="shared" si="10"/>
        <v>1</v>
      </c>
      <c r="G61" s="11">
        <f t="shared" si="19"/>
        <v>1860</v>
      </c>
      <c r="H61" s="4"/>
      <c r="I61" s="43">
        <f t="shared" si="11"/>
        <v>0</v>
      </c>
      <c r="J61" s="33">
        <f t="shared" si="12"/>
        <v>0</v>
      </c>
      <c r="K61" s="34">
        <f t="shared" si="13"/>
        <v>0</v>
      </c>
      <c r="L61" s="1"/>
      <c r="M61" s="1"/>
      <c r="N61" s="43">
        <f t="shared" si="14"/>
        <v>0</v>
      </c>
      <c r="O61" s="33">
        <f t="shared" si="20"/>
        <v>0</v>
      </c>
      <c r="P61" s="34">
        <f t="shared" si="21"/>
        <v>0</v>
      </c>
      <c r="Q61" s="1"/>
      <c r="R61" s="13" t="s">
        <v>12</v>
      </c>
      <c r="S61" s="43">
        <f t="shared" si="22"/>
        <v>0</v>
      </c>
      <c r="T61" s="88">
        <f t="shared" si="23"/>
        <v>0</v>
      </c>
      <c r="U61" s="33">
        <f>P$66/$K28</f>
        <v>0</v>
      </c>
      <c r="V61" s="52">
        <f>S61*L28/86400</f>
        <v>0</v>
      </c>
      <c r="W61" s="52">
        <f t="shared" si="24"/>
        <v>0</v>
      </c>
      <c r="X61" s="53">
        <f>IF(U61*L28/86400&gt;2592000/86400,"+ un mois",U61*L28/86400)</f>
        <v>0</v>
      </c>
      <c r="Y61" s="22"/>
    </row>
    <row r="62" spans="2:25">
      <c r="B62" s="21"/>
      <c r="C62" s="13" t="s">
        <v>13</v>
      </c>
      <c r="D62" s="9">
        <f t="shared" si="9"/>
        <v>50</v>
      </c>
      <c r="E62" s="5">
        <f t="shared" si="10"/>
        <v>80</v>
      </c>
      <c r="F62" s="5">
        <f t="shared" si="10"/>
        <v>1</v>
      </c>
      <c r="G62" s="11">
        <f t="shared" si="19"/>
        <v>0</v>
      </c>
      <c r="H62" s="4"/>
      <c r="I62" s="43">
        <f t="shared" si="11"/>
        <v>0</v>
      </c>
      <c r="J62" s="33">
        <f t="shared" si="12"/>
        <v>0</v>
      </c>
      <c r="K62" s="34">
        <f t="shared" si="13"/>
        <v>0</v>
      </c>
      <c r="L62" s="1"/>
      <c r="M62" s="1"/>
      <c r="N62" s="43">
        <f t="shared" si="14"/>
        <v>0</v>
      </c>
      <c r="O62" s="33">
        <f t="shared" si="20"/>
        <v>0</v>
      </c>
      <c r="P62" s="34">
        <f t="shared" si="21"/>
        <v>0</v>
      </c>
      <c r="Q62" s="1"/>
      <c r="R62" s="13" t="s">
        <v>13</v>
      </c>
      <c r="S62" s="43">
        <f t="shared" si="22"/>
        <v>0</v>
      </c>
      <c r="T62" s="88"/>
      <c r="U62" s="33"/>
      <c r="V62" s="52"/>
      <c r="W62" s="52"/>
      <c r="X62" s="53"/>
      <c r="Y62" s="22"/>
    </row>
    <row r="63" spans="2:25">
      <c r="B63" s="21"/>
      <c r="C63" s="13" t="s">
        <v>14</v>
      </c>
      <c r="D63" s="9">
        <f t="shared" si="9"/>
        <v>50</v>
      </c>
      <c r="E63" s="5">
        <f t="shared" si="10"/>
        <v>50</v>
      </c>
      <c r="F63" s="5">
        <f t="shared" si="10"/>
        <v>50</v>
      </c>
      <c r="G63" s="11">
        <f t="shared" si="19"/>
        <v>2740</v>
      </c>
      <c r="H63" s="4"/>
      <c r="I63" s="43">
        <f t="shared" si="11"/>
        <v>0</v>
      </c>
      <c r="J63" s="33">
        <f t="shared" si="12"/>
        <v>0</v>
      </c>
      <c r="K63" s="34">
        <f t="shared" si="13"/>
        <v>0</v>
      </c>
      <c r="L63" s="1"/>
      <c r="M63" s="1"/>
      <c r="N63" s="43">
        <f t="shared" si="14"/>
        <v>0</v>
      </c>
      <c r="O63" s="33">
        <f t="shared" si="20"/>
        <v>0</v>
      </c>
      <c r="P63" s="34">
        <f t="shared" si="21"/>
        <v>0</v>
      </c>
      <c r="Q63" s="1"/>
      <c r="R63" s="13" t="s">
        <v>14</v>
      </c>
      <c r="S63" s="43">
        <f t="shared" si="22"/>
        <v>0</v>
      </c>
      <c r="T63" s="88">
        <f t="shared" si="23"/>
        <v>0</v>
      </c>
      <c r="U63" s="33">
        <f>P$66/$K30</f>
        <v>0</v>
      </c>
      <c r="V63" s="52">
        <f>S63*L30/86400</f>
        <v>0</v>
      </c>
      <c r="W63" s="52">
        <f t="shared" si="24"/>
        <v>0</v>
      </c>
      <c r="X63" s="53">
        <f t="shared" ref="X63:X64" si="25">IF(U63*L30/86400&gt;2592000/86400,"+ un mois",U63*L30/86400)</f>
        <v>0</v>
      </c>
      <c r="Y63" s="22"/>
    </row>
    <row r="64" spans="2:25">
      <c r="B64" s="21"/>
      <c r="C64" s="14" t="s">
        <v>15</v>
      </c>
      <c r="D64" s="7">
        <f t="shared" si="9"/>
        <v>55</v>
      </c>
      <c r="E64" s="7">
        <f t="shared" si="10"/>
        <v>55</v>
      </c>
      <c r="F64" s="7">
        <f t="shared" si="10"/>
        <v>55</v>
      </c>
      <c r="G64" s="12">
        <f t="shared" si="19"/>
        <v>2740</v>
      </c>
      <c r="H64" s="4"/>
      <c r="I64" s="44">
        <f t="shared" si="11"/>
        <v>0</v>
      </c>
      <c r="J64" s="35">
        <f t="shared" si="12"/>
        <v>0</v>
      </c>
      <c r="K64" s="36">
        <f t="shared" si="13"/>
        <v>0</v>
      </c>
      <c r="L64" s="1"/>
      <c r="M64" s="1"/>
      <c r="N64" s="44">
        <f t="shared" si="14"/>
        <v>0</v>
      </c>
      <c r="O64" s="35">
        <f t="shared" si="20"/>
        <v>0</v>
      </c>
      <c r="P64" s="36">
        <f t="shared" si="21"/>
        <v>0</v>
      </c>
      <c r="Q64" s="1"/>
      <c r="R64" s="14" t="s">
        <v>15</v>
      </c>
      <c r="S64" s="44">
        <f t="shared" si="22"/>
        <v>0</v>
      </c>
      <c r="T64" s="89">
        <f t="shared" si="23"/>
        <v>0</v>
      </c>
      <c r="U64" s="35">
        <f>P$66/$K31</f>
        <v>0</v>
      </c>
      <c r="V64" s="52">
        <f>S64*L31/86400</f>
        <v>0</v>
      </c>
      <c r="W64" s="52">
        <f t="shared" si="24"/>
        <v>0</v>
      </c>
      <c r="X64" s="53">
        <f t="shared" si="25"/>
        <v>0</v>
      </c>
      <c r="Y64" s="22"/>
    </row>
    <row r="65" spans="2:25">
      <c r="B65" s="21"/>
      <c r="C65" s="1"/>
      <c r="D65" s="1"/>
      <c r="E65" s="1"/>
      <c r="F65" s="1"/>
      <c r="G65" s="4"/>
      <c r="H65" s="1"/>
      <c r="I65" s="16"/>
      <c r="J65" s="39"/>
      <c r="K65" s="1"/>
      <c r="L65" s="1"/>
      <c r="M65" s="1"/>
      <c r="N65" s="16"/>
      <c r="O65" s="39"/>
      <c r="P65" s="1"/>
      <c r="Q65" s="1"/>
      <c r="R65" s="1"/>
      <c r="S65" s="1"/>
      <c r="T65" s="1"/>
      <c r="U65" s="1"/>
      <c r="V65" s="1"/>
      <c r="W65" s="1"/>
      <c r="X65" s="1"/>
      <c r="Y65" s="22"/>
    </row>
    <row r="66" spans="2:25">
      <c r="B66" s="21"/>
      <c r="C66" s="1"/>
      <c r="D66" s="1"/>
      <c r="E66" s="1"/>
      <c r="F66" s="1"/>
      <c r="G66" s="3" t="s">
        <v>30</v>
      </c>
      <c r="H66" s="1"/>
      <c r="I66" s="56">
        <f>SUM(I51:I64)</f>
        <v>13000</v>
      </c>
      <c r="J66" s="56">
        <f t="shared" ref="J66:K66" si="26">SUM(J51:J64)</f>
        <v>18000</v>
      </c>
      <c r="K66" s="56">
        <f t="shared" si="26"/>
        <v>9500</v>
      </c>
      <c r="L66" s="1"/>
      <c r="M66" s="1"/>
      <c r="N66" s="56">
        <f>SUM(N51:N64)</f>
        <v>0</v>
      </c>
      <c r="O66" s="56">
        <f t="shared" ref="O66:P66" si="27">SUM(O51:O64)</f>
        <v>0</v>
      </c>
      <c r="P66" s="56">
        <f t="shared" si="27"/>
        <v>0</v>
      </c>
      <c r="Q66" s="1"/>
      <c r="R66" s="1"/>
      <c r="S66" s="1"/>
      <c r="T66" s="1"/>
      <c r="U66" s="1"/>
      <c r="V66" s="3" t="s">
        <v>51</v>
      </c>
      <c r="W66" s="64">
        <f>MIN(W51:W64)</f>
        <v>0</v>
      </c>
      <c r="X66" s="64">
        <f>MIN(X51:X64)</f>
        <v>0</v>
      </c>
      <c r="Y66" s="22"/>
    </row>
    <row r="67" spans="2:25">
      <c r="B67" s="25"/>
      <c r="C67" s="26"/>
      <c r="D67" s="26"/>
      <c r="E67" s="26"/>
      <c r="F67" s="26"/>
      <c r="G67" s="26"/>
      <c r="H67" s="26"/>
      <c r="I67" s="26"/>
      <c r="J67" s="40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7"/>
    </row>
    <row r="68" spans="2:25" ht="3.75" customHeight="1"/>
    <row r="69" spans="2:25">
      <c r="B69" s="18"/>
      <c r="C69" s="19"/>
      <c r="D69" s="19"/>
      <c r="E69" s="19"/>
      <c r="F69" s="19"/>
      <c r="G69" s="19"/>
      <c r="H69" s="19"/>
      <c r="I69" s="19"/>
      <c r="J69" s="38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0"/>
    </row>
    <row r="70" spans="2:25" ht="29.25">
      <c r="B70" s="21"/>
      <c r="C70" s="1"/>
      <c r="D70" s="1"/>
      <c r="E70" s="1"/>
      <c r="F70" s="1"/>
      <c r="G70" s="1"/>
      <c r="H70" s="1"/>
      <c r="I70" s="1"/>
      <c r="J70" s="4"/>
      <c r="K70" s="46" t="s">
        <v>42</v>
      </c>
      <c r="L70" s="1"/>
      <c r="M70" s="1"/>
      <c r="N70" s="1"/>
      <c r="O70" s="1"/>
      <c r="P70" s="1"/>
      <c r="Q70" s="74" t="s">
        <v>54</v>
      </c>
      <c r="R70" s="1"/>
      <c r="S70" s="1"/>
      <c r="T70" s="1"/>
      <c r="U70" s="1"/>
      <c r="V70" s="1"/>
      <c r="W70" s="73"/>
      <c r="X70" s="1"/>
      <c r="Y70" s="22"/>
    </row>
    <row r="71" spans="2:25">
      <c r="B71" s="21"/>
      <c r="C71" s="1"/>
      <c r="D71" s="55"/>
      <c r="E71" s="55"/>
      <c r="F71" s="55"/>
      <c r="G71" s="1"/>
      <c r="H71" s="55" t="s">
        <v>43</v>
      </c>
      <c r="I71" s="5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2"/>
    </row>
    <row r="72" spans="2:25">
      <c r="B72" s="21"/>
      <c r="C72" s="1"/>
      <c r="D72" s="55" t="s">
        <v>57</v>
      </c>
      <c r="E72" s="55"/>
      <c r="F72" s="55"/>
      <c r="G72" s="1"/>
      <c r="H72" s="1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2"/>
    </row>
    <row r="73" spans="2:25">
      <c r="B73" s="21"/>
      <c r="C73" s="1"/>
      <c r="D73" s="55" t="s">
        <v>16</v>
      </c>
      <c r="E73" s="55"/>
      <c r="F73" s="62" t="s">
        <v>58</v>
      </c>
      <c r="G73" s="1"/>
      <c r="H73" s="62" t="s">
        <v>16</v>
      </c>
      <c r="I73" s="85"/>
      <c r="J73" s="62" t="s">
        <v>55</v>
      </c>
      <c r="K73" s="56" t="str">
        <f>IF(I73&lt;&gt;"", I73-D74,"")</f>
        <v/>
      </c>
      <c r="L73" s="62" t="str">
        <f>IF(K73&lt;=0,"Fait un effort!", "")</f>
        <v/>
      </c>
      <c r="M73" s="1"/>
      <c r="N73" s="55" t="s">
        <v>17</v>
      </c>
      <c r="O73" s="85"/>
      <c r="P73" s="62" t="s">
        <v>55</v>
      </c>
      <c r="Q73" s="56" t="str">
        <f>IF(O73&lt;&gt;"", O73-D76,"")</f>
        <v/>
      </c>
      <c r="R73" s="62" t="str">
        <f>IF(Q73&lt;=0,"Fait un effort!", "")</f>
        <v/>
      </c>
      <c r="S73" s="1"/>
      <c r="T73" s="55" t="s">
        <v>18</v>
      </c>
      <c r="U73" s="85"/>
      <c r="V73" s="62" t="s">
        <v>55</v>
      </c>
      <c r="W73" s="56" t="str">
        <f>IF(U73&lt;&gt;"", U73-D78,"")</f>
        <v/>
      </c>
      <c r="X73" s="62" t="str">
        <f>IF(W73&lt;=0,"Fait un effort!", "")</f>
        <v/>
      </c>
      <c r="Y73" s="22"/>
    </row>
    <row r="74" spans="2:25">
      <c r="B74" s="21"/>
      <c r="C74" s="1"/>
      <c r="D74" s="56">
        <f>P33</f>
        <v>13000</v>
      </c>
      <c r="E74" s="55"/>
      <c r="F74" s="57">
        <f>IF(D74=0,"",D74/(D$74+D$76+D$78))</f>
        <v>0.32098765432098764</v>
      </c>
      <c r="G74" s="1"/>
      <c r="H74" s="32" t="s">
        <v>44</v>
      </c>
      <c r="I74" s="1"/>
      <c r="J74" s="32"/>
      <c r="K74" s="32" t="s">
        <v>53</v>
      </c>
      <c r="L74" s="1"/>
      <c r="M74" s="1"/>
      <c r="N74" s="32" t="s">
        <v>44</v>
      </c>
      <c r="O74" s="1"/>
      <c r="P74" s="1"/>
      <c r="Q74" s="32" t="s">
        <v>53</v>
      </c>
      <c r="R74" s="1"/>
      <c r="S74" s="1"/>
      <c r="T74" s="32" t="s">
        <v>44</v>
      </c>
      <c r="U74" s="1"/>
      <c r="V74" s="1"/>
      <c r="W74" s="32" t="s">
        <v>53</v>
      </c>
      <c r="X74" s="1"/>
      <c r="Y74" s="22"/>
    </row>
    <row r="75" spans="2:25">
      <c r="B75" s="21"/>
      <c r="C75" s="1"/>
      <c r="D75" s="55" t="s">
        <v>17</v>
      </c>
      <c r="E75" s="55"/>
      <c r="F75" s="55"/>
      <c r="G75" s="1"/>
      <c r="H75" s="29" t="s">
        <v>16</v>
      </c>
      <c r="I75" s="29" t="s">
        <v>45</v>
      </c>
      <c r="J75" s="66" t="s">
        <v>26</v>
      </c>
      <c r="K75" s="69" t="s">
        <v>17</v>
      </c>
      <c r="L75" s="31" t="s">
        <v>18</v>
      </c>
      <c r="M75" s="1"/>
      <c r="N75" s="29" t="s">
        <v>17</v>
      </c>
      <c r="O75" s="29" t="s">
        <v>45</v>
      </c>
      <c r="P75" s="66" t="s">
        <v>26</v>
      </c>
      <c r="Q75" s="69" t="s">
        <v>16</v>
      </c>
      <c r="R75" s="31" t="s">
        <v>18</v>
      </c>
      <c r="S75" s="1"/>
      <c r="T75" s="29" t="s">
        <v>18</v>
      </c>
      <c r="U75" s="29" t="s">
        <v>45</v>
      </c>
      <c r="V75" s="66" t="s">
        <v>26</v>
      </c>
      <c r="W75" s="69" t="s">
        <v>17</v>
      </c>
      <c r="X75" s="31" t="s">
        <v>16</v>
      </c>
      <c r="Y75" s="22"/>
    </row>
    <row r="76" spans="2:25">
      <c r="B76" s="21"/>
      <c r="C76" s="1"/>
      <c r="D76" s="56">
        <f>Q33</f>
        <v>18000</v>
      </c>
      <c r="E76" s="55"/>
      <c r="F76" s="57">
        <f>IF(D76=0,"",D76/(D$74+D$76+D$78))</f>
        <v>0.44444444444444442</v>
      </c>
      <c r="G76" s="1"/>
      <c r="H76" s="13" t="s">
        <v>47</v>
      </c>
      <c r="I76" s="58" t="str">
        <f t="shared" ref="I76:I82" si="28">IF(I$73&lt;D$74,"Erreur",(I$73-P$33)/I18)</f>
        <v>Erreur</v>
      </c>
      <c r="J76" s="67" t="str">
        <f>IF(I76="Erreur","",IF(I76*L18/86400&gt;2592000/86400,"+ un mois",I76*L18/86400))</f>
        <v/>
      </c>
      <c r="K76" s="70" t="str">
        <f>IF(I76="Erreur", "", I76*J18)</f>
        <v/>
      </c>
      <c r="L76" s="34" t="str">
        <f>IF(I76="Erreur", "",I76*K18)</f>
        <v/>
      </c>
      <c r="M76" s="1"/>
      <c r="N76" s="13" t="s">
        <v>47</v>
      </c>
      <c r="O76" s="58" t="str">
        <f t="shared" ref="O76:O82" si="29">IF(O$73&lt;D$76,"Erreur",(O$73-Q$33)/J18)</f>
        <v>Erreur</v>
      </c>
      <c r="P76" s="67" t="str">
        <f>IF(O76="Erreur","",IF(O76*L18/86400&gt;2592000/86400,"+ un mois",O76*L18/86400))</f>
        <v/>
      </c>
      <c r="Q76" s="70" t="str">
        <f>IF(O76="Erreur", "",O76*I18)</f>
        <v/>
      </c>
      <c r="R76" s="34" t="str">
        <f>IF(O76="Erreur", "",O76*K18)</f>
        <v/>
      </c>
      <c r="S76" s="1"/>
      <c r="T76" s="13" t="s">
        <v>47</v>
      </c>
      <c r="U76" s="58" t="str">
        <f t="shared" ref="U76:U82" si="30">IF(U$73&lt;D$78,"Erreur",(U$73-R$33)/K18)</f>
        <v>Erreur</v>
      </c>
      <c r="V76" s="67" t="str">
        <f>IF(U76="Erreur","",IF(U76*L18/86400&gt;2592000/86400,"+ un mois",U76*L18/86400))</f>
        <v/>
      </c>
      <c r="W76" s="70" t="str">
        <f>IF(U76="Erreur", "",U76*J18)</f>
        <v/>
      </c>
      <c r="X76" s="71" t="str">
        <f>IF(U76="Erreur", "",U76*I18)</f>
        <v/>
      </c>
      <c r="Y76" s="22"/>
    </row>
    <row r="77" spans="2:25">
      <c r="B77" s="21"/>
      <c r="C77" s="1"/>
      <c r="D77" s="55" t="s">
        <v>18</v>
      </c>
      <c r="E77" s="55"/>
      <c r="F77" s="55"/>
      <c r="G77" s="1"/>
      <c r="H77" s="13" t="s">
        <v>5</v>
      </c>
      <c r="I77" s="58" t="str">
        <f t="shared" si="28"/>
        <v>Erreur</v>
      </c>
      <c r="J77" s="67" t="str">
        <f t="shared" ref="J77:J82" si="31">IF(I77="Erreur","",IF(I77*L19/86400&gt;24*3600*30/86400, "+ un mois", I77*L19/86400))</f>
        <v/>
      </c>
      <c r="K77" s="70" t="str">
        <f t="shared" ref="K77:K82" si="32">IF(I77="Erreur", "", I77*J19)</f>
        <v/>
      </c>
      <c r="L77" s="34" t="str">
        <f t="shared" ref="L77:L82" si="33">IF(I77="Erreur", "",I77*K19)</f>
        <v/>
      </c>
      <c r="M77" s="1"/>
      <c r="N77" s="13" t="s">
        <v>5</v>
      </c>
      <c r="O77" s="58" t="str">
        <f t="shared" si="29"/>
        <v>Erreur</v>
      </c>
      <c r="P77" s="67" t="str">
        <f t="shared" ref="P77:P82" si="34">IF(O77="Erreur","",IF(O77*L19/86400&gt;2592000/86400,"+ un mois",O77*L19/86400))</f>
        <v/>
      </c>
      <c r="Q77" s="70" t="str">
        <f t="shared" ref="Q77:Q82" si="35">IF(O77="Erreur", "",O77*I19)</f>
        <v/>
      </c>
      <c r="R77" s="34" t="str">
        <f t="shared" ref="R77:R82" si="36">IF(O77="Erreur", "",O77*K19)</f>
        <v/>
      </c>
      <c r="S77" s="1"/>
      <c r="T77" s="13" t="s">
        <v>5</v>
      </c>
      <c r="U77" s="58" t="str">
        <f t="shared" si="30"/>
        <v>Erreur</v>
      </c>
      <c r="V77" s="67" t="str">
        <f t="shared" ref="V77:V82" si="37">IF(U77="Erreur","",IF(U77*L19/86400&gt;2592000/86400,"+ un mois",U77*L19/86400))</f>
        <v/>
      </c>
      <c r="W77" s="70" t="str">
        <f t="shared" ref="W77:W82" si="38">IF(U77="Erreur", "",U77*J19)</f>
        <v/>
      </c>
      <c r="X77" s="71" t="str">
        <f t="shared" ref="X77:X82" si="39">IF(U77="Erreur", "",U77*I19)</f>
        <v/>
      </c>
      <c r="Y77" s="22"/>
    </row>
    <row r="78" spans="2:25">
      <c r="B78" s="21"/>
      <c r="C78" s="1"/>
      <c r="D78" s="56">
        <f>R33</f>
        <v>9500</v>
      </c>
      <c r="E78" s="55"/>
      <c r="F78" s="57">
        <f>IF(D78=0,"",D78/(D$74+D$76+D$78))</f>
        <v>0.23456790123456789</v>
      </c>
      <c r="G78" s="1"/>
      <c r="H78" s="13" t="s">
        <v>6</v>
      </c>
      <c r="I78" s="58" t="str">
        <f t="shared" si="28"/>
        <v>Erreur</v>
      </c>
      <c r="J78" s="67" t="str">
        <f t="shared" si="31"/>
        <v/>
      </c>
      <c r="K78" s="70" t="str">
        <f t="shared" si="32"/>
        <v/>
      </c>
      <c r="L78" s="34" t="str">
        <f t="shared" si="33"/>
        <v/>
      </c>
      <c r="M78" s="1"/>
      <c r="N78" s="13" t="s">
        <v>6</v>
      </c>
      <c r="O78" s="58" t="str">
        <f t="shared" si="29"/>
        <v>Erreur</v>
      </c>
      <c r="P78" s="67" t="str">
        <f t="shared" si="34"/>
        <v/>
      </c>
      <c r="Q78" s="70" t="str">
        <f t="shared" si="35"/>
        <v/>
      </c>
      <c r="R78" s="34" t="str">
        <f t="shared" si="36"/>
        <v/>
      </c>
      <c r="S78" s="1"/>
      <c r="T78" s="13" t="s">
        <v>6</v>
      </c>
      <c r="U78" s="58" t="str">
        <f t="shared" si="30"/>
        <v>Erreur</v>
      </c>
      <c r="V78" s="67" t="str">
        <f t="shared" si="37"/>
        <v/>
      </c>
      <c r="W78" s="70" t="str">
        <f t="shared" si="38"/>
        <v/>
      </c>
      <c r="X78" s="71" t="str">
        <f t="shared" si="39"/>
        <v/>
      </c>
      <c r="Y78" s="22"/>
    </row>
    <row r="79" spans="2:25">
      <c r="B79" s="21"/>
      <c r="C79" s="1"/>
      <c r="D79" s="55"/>
      <c r="E79" s="55"/>
      <c r="F79" s="55"/>
      <c r="G79" s="1"/>
      <c r="H79" s="13" t="s">
        <v>7</v>
      </c>
      <c r="I79" s="58" t="str">
        <f t="shared" si="28"/>
        <v>Erreur</v>
      </c>
      <c r="J79" s="67" t="str">
        <f t="shared" si="31"/>
        <v/>
      </c>
      <c r="K79" s="70" t="str">
        <f t="shared" si="32"/>
        <v/>
      </c>
      <c r="L79" s="34" t="str">
        <f t="shared" si="33"/>
        <v/>
      </c>
      <c r="M79" s="1"/>
      <c r="N79" s="13" t="s">
        <v>7</v>
      </c>
      <c r="O79" s="58" t="str">
        <f t="shared" si="29"/>
        <v>Erreur</v>
      </c>
      <c r="P79" s="67" t="str">
        <f t="shared" si="34"/>
        <v/>
      </c>
      <c r="Q79" s="70" t="str">
        <f t="shared" si="35"/>
        <v/>
      </c>
      <c r="R79" s="34" t="str">
        <f t="shared" si="36"/>
        <v/>
      </c>
      <c r="S79" s="1"/>
      <c r="T79" s="13" t="s">
        <v>7</v>
      </c>
      <c r="U79" s="58" t="str">
        <f t="shared" si="30"/>
        <v>Erreur</v>
      </c>
      <c r="V79" s="67" t="str">
        <f t="shared" si="37"/>
        <v/>
      </c>
      <c r="W79" s="70" t="str">
        <f t="shared" si="38"/>
        <v/>
      </c>
      <c r="X79" s="71" t="str">
        <f t="shared" si="39"/>
        <v/>
      </c>
      <c r="Y79" s="22"/>
    </row>
    <row r="80" spans="2:25">
      <c r="B80" s="21"/>
      <c r="C80" s="1"/>
      <c r="D80" s="1"/>
      <c r="E80" s="1"/>
      <c r="F80" s="1"/>
      <c r="G80" s="4"/>
      <c r="H80" s="13" t="s">
        <v>8</v>
      </c>
      <c r="I80" s="58" t="str">
        <f t="shared" si="28"/>
        <v>Erreur</v>
      </c>
      <c r="J80" s="67" t="str">
        <f t="shared" si="31"/>
        <v/>
      </c>
      <c r="K80" s="70" t="str">
        <f t="shared" si="32"/>
        <v/>
      </c>
      <c r="L80" s="34" t="str">
        <f t="shared" si="33"/>
        <v/>
      </c>
      <c r="M80" s="1"/>
      <c r="N80" s="13" t="s">
        <v>8</v>
      </c>
      <c r="O80" s="58" t="str">
        <f t="shared" si="29"/>
        <v>Erreur</v>
      </c>
      <c r="P80" s="67" t="str">
        <f t="shared" si="34"/>
        <v/>
      </c>
      <c r="Q80" s="70" t="str">
        <f t="shared" si="35"/>
        <v/>
      </c>
      <c r="R80" s="34" t="str">
        <f t="shared" si="36"/>
        <v/>
      </c>
      <c r="S80" s="1"/>
      <c r="T80" s="13" t="s">
        <v>8</v>
      </c>
      <c r="U80" s="58" t="str">
        <f t="shared" si="30"/>
        <v>Erreur</v>
      </c>
      <c r="V80" s="67" t="str">
        <f t="shared" si="37"/>
        <v/>
      </c>
      <c r="W80" s="70" t="str">
        <f t="shared" si="38"/>
        <v/>
      </c>
      <c r="X80" s="71" t="str">
        <f t="shared" si="39"/>
        <v/>
      </c>
      <c r="Y80" s="22"/>
    </row>
    <row r="81" spans="2:25">
      <c r="B81" s="21"/>
      <c r="C81" s="1"/>
      <c r="D81" s="1"/>
      <c r="E81" s="1"/>
      <c r="F81" s="1"/>
      <c r="G81" s="4"/>
      <c r="H81" s="13" t="s">
        <v>21</v>
      </c>
      <c r="I81" s="58" t="str">
        <f t="shared" si="28"/>
        <v>Erreur</v>
      </c>
      <c r="J81" s="67" t="str">
        <f t="shared" si="31"/>
        <v/>
      </c>
      <c r="K81" s="70" t="str">
        <f t="shared" si="32"/>
        <v/>
      </c>
      <c r="L81" s="34" t="str">
        <f t="shared" si="33"/>
        <v/>
      </c>
      <c r="M81" s="1"/>
      <c r="N81" s="13" t="s">
        <v>21</v>
      </c>
      <c r="O81" s="58" t="str">
        <f t="shared" si="29"/>
        <v>Erreur</v>
      </c>
      <c r="P81" s="67" t="str">
        <f t="shared" si="34"/>
        <v/>
      </c>
      <c r="Q81" s="70" t="str">
        <f t="shared" si="35"/>
        <v/>
      </c>
      <c r="R81" s="34" t="str">
        <f t="shared" si="36"/>
        <v/>
      </c>
      <c r="S81" s="1"/>
      <c r="T81" s="13" t="s">
        <v>21</v>
      </c>
      <c r="U81" s="58" t="str">
        <f t="shared" si="30"/>
        <v>Erreur</v>
      </c>
      <c r="V81" s="67" t="str">
        <f t="shared" si="37"/>
        <v/>
      </c>
      <c r="W81" s="70" t="str">
        <f t="shared" si="38"/>
        <v/>
      </c>
      <c r="X81" s="71" t="str">
        <f t="shared" si="39"/>
        <v/>
      </c>
      <c r="Y81" s="22"/>
    </row>
    <row r="82" spans="2:25">
      <c r="B82" s="21"/>
      <c r="C82" s="1"/>
      <c r="D82" s="1"/>
      <c r="E82" s="1"/>
      <c r="F82" s="1"/>
      <c r="G82" s="4"/>
      <c r="H82" s="13" t="s">
        <v>9</v>
      </c>
      <c r="I82" s="58" t="str">
        <f t="shared" si="28"/>
        <v>Erreur</v>
      </c>
      <c r="J82" s="67" t="str">
        <f t="shared" si="31"/>
        <v/>
      </c>
      <c r="K82" s="70" t="str">
        <f t="shared" si="32"/>
        <v/>
      </c>
      <c r="L82" s="34" t="str">
        <f t="shared" si="33"/>
        <v/>
      </c>
      <c r="M82" s="1"/>
      <c r="N82" s="13" t="s">
        <v>9</v>
      </c>
      <c r="O82" s="58" t="str">
        <f t="shared" si="29"/>
        <v>Erreur</v>
      </c>
      <c r="P82" s="67" t="str">
        <f t="shared" si="34"/>
        <v/>
      </c>
      <c r="Q82" s="70" t="str">
        <f t="shared" si="35"/>
        <v/>
      </c>
      <c r="R82" s="34" t="str">
        <f t="shared" si="36"/>
        <v/>
      </c>
      <c r="S82" s="1"/>
      <c r="T82" s="13" t="s">
        <v>9</v>
      </c>
      <c r="U82" s="58" t="str">
        <f t="shared" si="30"/>
        <v>Erreur</v>
      </c>
      <c r="V82" s="67" t="str">
        <f t="shared" si="37"/>
        <v/>
      </c>
      <c r="W82" s="70" t="str">
        <f t="shared" si="38"/>
        <v/>
      </c>
      <c r="X82" s="71" t="str">
        <f t="shared" si="39"/>
        <v/>
      </c>
      <c r="Y82" s="22"/>
    </row>
    <row r="83" spans="2:25">
      <c r="B83" s="21"/>
      <c r="C83" s="1"/>
      <c r="D83" s="1"/>
      <c r="E83" s="1"/>
      <c r="F83" s="1"/>
      <c r="G83" s="4"/>
      <c r="H83" s="13" t="s">
        <v>10</v>
      </c>
      <c r="I83" s="58" t="str">
        <f>IF(I$73&lt;D$74,"Erreur",(I$73-P$33)/I26)</f>
        <v>Erreur</v>
      </c>
      <c r="J83" s="67" t="str">
        <f>IF(I83="Erreur","",IF(I83*L26/86400&gt;24*3600*30/86400, "+ un mois", I83*L26/86400))</f>
        <v/>
      </c>
      <c r="K83" s="70" t="str">
        <f>IF(I83="Erreur", "", I83*J26)</f>
        <v/>
      </c>
      <c r="L83" s="34" t="str">
        <f>IF(I83="Erreur", "",I83*K26)</f>
        <v/>
      </c>
      <c r="M83" s="1"/>
      <c r="N83" s="13" t="s">
        <v>10</v>
      </c>
      <c r="O83" s="58" t="str">
        <f>IF(O$73&lt;D$76,"Erreur",(O$73-Q$33)/J26)</f>
        <v>Erreur</v>
      </c>
      <c r="P83" s="67" t="str">
        <f>IF(O83="Erreur","",IF(O83*L26/86400&gt;2592000/86400,"+ un mois",O83*L26/86400))</f>
        <v/>
      </c>
      <c r="Q83" s="70" t="str">
        <f>IF(O83="Erreur", "",O83*I26)</f>
        <v/>
      </c>
      <c r="R83" s="34" t="str">
        <f>IF(O83="Erreur", "",O83*K26)</f>
        <v/>
      </c>
      <c r="S83" s="1"/>
      <c r="T83" s="13" t="s">
        <v>10</v>
      </c>
      <c r="U83" s="58" t="str">
        <f>IF(U$73&lt;D$78,"Erreur",(U$73-R$33)/K26)</f>
        <v>Erreur</v>
      </c>
      <c r="V83" s="67" t="str">
        <f>IF(U83="Erreur","",IF(U83*L26/86400&gt;2592000/86400,"+ un mois",U83*L26/86400))</f>
        <v/>
      </c>
      <c r="W83" s="70" t="str">
        <f>IF(U83="Erreur", "",U83*J26)</f>
        <v/>
      </c>
      <c r="X83" s="71" t="str">
        <f>IF(U83="Erreur", "",U83*I26)</f>
        <v/>
      </c>
      <c r="Y83" s="22"/>
    </row>
    <row r="84" spans="2:25">
      <c r="B84" s="21"/>
      <c r="C84" s="1"/>
      <c r="D84" s="1"/>
      <c r="E84" s="1"/>
      <c r="F84" s="1"/>
      <c r="G84" s="4"/>
      <c r="H84" s="13" t="s">
        <v>11</v>
      </c>
      <c r="I84" s="58" t="str">
        <f>IF(I$73&lt;D$74,"Erreur",(I$73-P$33)/I27)</f>
        <v>Erreur</v>
      </c>
      <c r="J84" s="67" t="str">
        <f>IF(I84="Erreur","",IF(I84*L27/86400&gt;24*3600*30/86400, "+ un mois", I84*L27/86400))</f>
        <v/>
      </c>
      <c r="K84" s="70" t="str">
        <f>IF(I84="Erreur", "", I84*J27)</f>
        <v/>
      </c>
      <c r="L84" s="34" t="str">
        <f>IF(I84="Erreur", "",I84*K27)</f>
        <v/>
      </c>
      <c r="M84" s="1"/>
      <c r="N84" s="13" t="s">
        <v>11</v>
      </c>
      <c r="O84" s="58" t="str">
        <f>IF(O$73&lt;D$76,"Erreur",(O$73-Q$33)/J27)</f>
        <v>Erreur</v>
      </c>
      <c r="P84" s="67" t="str">
        <f>IF(O84="Erreur","",IF(O84*L27/86400&gt;2592000/86400,"+ un mois",O84*L27/86400))</f>
        <v/>
      </c>
      <c r="Q84" s="70" t="str">
        <f>IF(O84="Erreur", "",O84*I27)</f>
        <v/>
      </c>
      <c r="R84" s="34" t="str">
        <f>IF(O84="Erreur", "",O84*K27)</f>
        <v/>
      </c>
      <c r="S84" s="1"/>
      <c r="T84" s="13" t="s">
        <v>11</v>
      </c>
      <c r="U84" s="58" t="str">
        <f>IF(U$73&lt;D$78,"Erreur",(U$73-R$33)/K27)</f>
        <v>Erreur</v>
      </c>
      <c r="V84" s="67" t="str">
        <f>IF(U84="Erreur","",IF(U84*L27/86400&gt;2592000/86400,"+ un mois",U84*L27/86400))</f>
        <v/>
      </c>
      <c r="W84" s="70" t="str">
        <f>IF(U84="Erreur", "",U84*J27)</f>
        <v/>
      </c>
      <c r="X84" s="71" t="str">
        <f>IF(U84="Erreur", "",U84*I27)</f>
        <v/>
      </c>
      <c r="Y84" s="22"/>
    </row>
    <row r="85" spans="2:25">
      <c r="B85" s="21"/>
      <c r="C85" s="1"/>
      <c r="D85" s="1"/>
      <c r="E85" s="1"/>
      <c r="F85" s="1"/>
      <c r="G85" s="4"/>
      <c r="H85" s="13" t="s">
        <v>12</v>
      </c>
      <c r="I85" s="58" t="str">
        <f>IF(I$73&lt;D$74,"Erreur",(I$73-P$33)/I28)</f>
        <v>Erreur</v>
      </c>
      <c r="J85" s="67" t="str">
        <f>IF(I85="Erreur","",IF(I85*L28/86400&gt;24*3600*30/86400, "+ un mois", I85*L28/86400))</f>
        <v/>
      </c>
      <c r="K85" s="70" t="str">
        <f>IF(I85="Erreur", "", I85*J28)</f>
        <v/>
      </c>
      <c r="L85" s="34" t="str">
        <f>IF(I85="Erreur", "",I85*K28)</f>
        <v/>
      </c>
      <c r="M85" s="1"/>
      <c r="N85" s="13" t="s">
        <v>12</v>
      </c>
      <c r="O85" s="58" t="str">
        <f>IF(O$73&lt;D$76,"Erreur",(O$73-Q$33)/J28)</f>
        <v>Erreur</v>
      </c>
      <c r="P85" s="67" t="str">
        <f>IF(O85="Erreur","",IF(O85*L28/86400&gt;2592000/86400,"+ un mois",O85*L28/86400))</f>
        <v/>
      </c>
      <c r="Q85" s="70" t="str">
        <f>IF(O85="Erreur", "",O85*I28)</f>
        <v/>
      </c>
      <c r="R85" s="34" t="str">
        <f>IF(O85="Erreur", "",O85*K28)</f>
        <v/>
      </c>
      <c r="S85" s="1"/>
      <c r="T85" s="13" t="s">
        <v>12</v>
      </c>
      <c r="U85" s="58" t="str">
        <f>IF(U$73&lt;D$78,"Erreur",(U$73-R$33)/K28)</f>
        <v>Erreur</v>
      </c>
      <c r="V85" s="67" t="str">
        <f>IF(U85="Erreur","",IF(U85*L28/86400&gt;2592000/86400,"+ un mois",U85*L28/86400))</f>
        <v/>
      </c>
      <c r="W85" s="70" t="str">
        <f>IF(U85="Erreur", "",U85*J28)</f>
        <v/>
      </c>
      <c r="X85" s="71" t="str">
        <f>IF(U85="Erreur", "",U85*I28)</f>
        <v/>
      </c>
      <c r="Y85" s="22"/>
    </row>
    <row r="86" spans="2:25">
      <c r="B86" s="21"/>
      <c r="C86" s="1"/>
      <c r="D86" s="1"/>
      <c r="E86" s="1"/>
      <c r="F86" s="1"/>
      <c r="G86" s="4"/>
      <c r="H86" s="13" t="s">
        <v>14</v>
      </c>
      <c r="I86" s="58" t="str">
        <f>IF(I$73&lt;D$74,"Erreur",(I$73-P$33)/I30)</f>
        <v>Erreur</v>
      </c>
      <c r="J86" s="67" t="str">
        <f>IF(I86="Erreur","",IF(I86*L30/86400&gt;24*3600*30/86400, "+ un mois", I86*L30/86400))</f>
        <v/>
      </c>
      <c r="K86" s="70" t="str">
        <f>IF(I86="Erreur", "", I86*J30)</f>
        <v/>
      </c>
      <c r="L86" s="34" t="str">
        <f>IF(I86="Erreur", "",I86*K30)</f>
        <v/>
      </c>
      <c r="M86" s="1"/>
      <c r="N86" s="13" t="s">
        <v>14</v>
      </c>
      <c r="O86" s="58" t="str">
        <f>IF(O$73&lt;D$76,"Erreur",(O$73-Q$33)/J30)</f>
        <v>Erreur</v>
      </c>
      <c r="P86" s="67" t="str">
        <f>IF(O86="Erreur","",IF(O86*L30/86400&gt;2592000/86400,"+ un mois",O86*L30/86400))</f>
        <v/>
      </c>
      <c r="Q86" s="70" t="str">
        <f>IF(O86="Erreur", "",O86*I30)</f>
        <v/>
      </c>
      <c r="R86" s="34" t="str">
        <f>IF(O86="Erreur", "",O86*K30)</f>
        <v/>
      </c>
      <c r="S86" s="1"/>
      <c r="T86" s="13" t="s">
        <v>14</v>
      </c>
      <c r="U86" s="58" t="str">
        <f>IF(U$73&lt;D$78,"Erreur",(U$73-R$33)/K30)</f>
        <v>Erreur</v>
      </c>
      <c r="V86" s="67" t="str">
        <f>IF(U86="Erreur","",IF(U86*L30/86400&gt;2592000/86400,"+ un mois",U86*L30/86400))</f>
        <v/>
      </c>
      <c r="W86" s="70" t="str">
        <f>IF(U86="Erreur", "",U86*J30)</f>
        <v/>
      </c>
      <c r="X86" s="71" t="str">
        <f>IF(U86="Erreur", "",U86*I30)</f>
        <v/>
      </c>
      <c r="Y86" s="22"/>
    </row>
    <row r="87" spans="2:25">
      <c r="B87" s="21"/>
      <c r="C87" s="1"/>
      <c r="D87" s="1"/>
      <c r="E87" s="1"/>
      <c r="F87" s="1"/>
      <c r="G87" s="4"/>
      <c r="H87" s="14" t="s">
        <v>15</v>
      </c>
      <c r="I87" s="59" t="str">
        <f>IF(I$73&lt;D$74,"Erreur",(I$73-P$33)/I31)</f>
        <v>Erreur</v>
      </c>
      <c r="J87" s="54" t="str">
        <f>IF(I87="Erreur","",IF(I87*L31/86400&gt;24*3600*30/86400, "+ un mois", I87*L31/86400))</f>
        <v/>
      </c>
      <c r="K87" s="65" t="str">
        <f>IF(I87="Erreur", "", I87*J31)</f>
        <v/>
      </c>
      <c r="L87" s="36" t="str">
        <f>IF(I87="Erreur", "",I87*K31)</f>
        <v/>
      </c>
      <c r="M87" s="1"/>
      <c r="N87" s="14" t="s">
        <v>15</v>
      </c>
      <c r="O87" s="59" t="str">
        <f>IF(O$73&lt;D$76,"Erreur",(O$73-Q$33)/J31)</f>
        <v>Erreur</v>
      </c>
      <c r="P87" s="68" t="str">
        <f>IF(O87="Erreur","",IF(O87*L31/86400&gt;2592000/86400,"+ un mois",O87*L31/86400))</f>
        <v/>
      </c>
      <c r="Q87" s="65" t="str">
        <f>IF(O87="Erreur", "",O87*I31)</f>
        <v/>
      </c>
      <c r="R87" s="36" t="str">
        <f>IF(O87="Erreur", "",O87*K31)</f>
        <v/>
      </c>
      <c r="S87" s="1"/>
      <c r="T87" s="14" t="s">
        <v>15</v>
      </c>
      <c r="U87" s="59" t="str">
        <f>IF(U$73&lt;D$78,"Erreur",(U$73-R$33)/K31)</f>
        <v>Erreur</v>
      </c>
      <c r="V87" s="68" t="str">
        <f>IF(U87="Erreur","",IF(U87*L31/86400&gt;2592000/86400,"+ un mois",U87*L31/86400))</f>
        <v/>
      </c>
      <c r="W87" s="65" t="str">
        <f>IF(U87="Erreur", "",U87*J31)</f>
        <v/>
      </c>
      <c r="X87" s="72" t="str">
        <f>IF(U87="Erreur", "",U87*I31)</f>
        <v/>
      </c>
      <c r="Y87" s="22"/>
    </row>
    <row r="88" spans="2:2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7"/>
    </row>
    <row r="89" spans="2:25" ht="3.75" customHeight="1"/>
    <row r="90" spans="2:25">
      <c r="B90" s="18"/>
      <c r="C90" s="19"/>
      <c r="D90" s="19"/>
      <c r="E90" s="19"/>
      <c r="F90" s="19"/>
      <c r="G90" s="19"/>
      <c r="H90" s="19"/>
      <c r="I90" s="19"/>
      <c r="J90" s="38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20"/>
    </row>
    <row r="91" spans="2:25" ht="29.25">
      <c r="B91" s="21"/>
      <c r="C91" s="1"/>
      <c r="D91" s="74"/>
      <c r="E91" s="1"/>
      <c r="F91" s="1"/>
      <c r="G91" s="1"/>
      <c r="H91" s="1"/>
      <c r="I91" s="1"/>
      <c r="J91" s="4"/>
      <c r="K91" s="46" t="s">
        <v>59</v>
      </c>
      <c r="L91" s="1"/>
      <c r="M91" s="1"/>
      <c r="N91" s="1"/>
      <c r="O91" s="1"/>
      <c r="P91" s="1"/>
      <c r="Q91" s="74"/>
      <c r="R91" s="1"/>
      <c r="S91" s="1"/>
      <c r="T91" s="1"/>
      <c r="U91" s="1"/>
      <c r="V91" s="1"/>
      <c r="W91" s="73"/>
      <c r="X91" s="1"/>
      <c r="Y91" s="22"/>
    </row>
    <row r="92" spans="2:25" ht="20.25" customHeight="1">
      <c r="B92" s="21"/>
      <c r="C92" s="1"/>
      <c r="D92" s="74" t="s">
        <v>62</v>
      </c>
      <c r="E92" s="1"/>
      <c r="F92" s="1"/>
      <c r="G92" s="1"/>
      <c r="H92" s="1"/>
      <c r="I92" s="1"/>
      <c r="J92" s="4"/>
      <c r="K92" s="46"/>
      <c r="L92" s="1"/>
      <c r="M92" s="1"/>
      <c r="N92" s="1"/>
      <c r="O92" s="74"/>
      <c r="P92" s="74" t="s">
        <v>74</v>
      </c>
      <c r="Q92" s="74"/>
      <c r="R92" s="1"/>
      <c r="S92" s="1"/>
      <c r="T92" s="1"/>
      <c r="U92" s="1"/>
      <c r="V92" s="1"/>
      <c r="W92" s="73"/>
      <c r="X92" s="1"/>
      <c r="Y92" s="22"/>
    </row>
    <row r="93" spans="2:25">
      <c r="B93" s="21"/>
      <c r="C93" s="1"/>
      <c r="D93" s="55"/>
      <c r="E93" s="55"/>
      <c r="F93" s="55"/>
      <c r="G93" s="1"/>
      <c r="H93" s="55" t="s">
        <v>71</v>
      </c>
      <c r="I93" s="51"/>
      <c r="J93" s="4"/>
      <c r="K93" s="1"/>
      <c r="L93" s="1"/>
      <c r="M93" s="1"/>
      <c r="N93" s="1"/>
      <c r="O93" s="74"/>
      <c r="P93" s="74" t="s">
        <v>70</v>
      </c>
      <c r="Q93" s="1"/>
      <c r="R93" s="1"/>
      <c r="S93" s="1"/>
      <c r="T93" s="1"/>
      <c r="U93" s="1"/>
      <c r="V93" s="1"/>
      <c r="W93" s="1"/>
      <c r="X93" s="1"/>
      <c r="Y93" s="22"/>
    </row>
    <row r="94" spans="2:25" ht="15.75">
      <c r="B94" s="21"/>
      <c r="C94" s="1"/>
      <c r="D94" s="90" t="s">
        <v>61</v>
      </c>
      <c r="E94" s="55"/>
      <c r="F94" s="90" t="s">
        <v>82</v>
      </c>
      <c r="G94" s="55"/>
      <c r="H94" s="55" t="s">
        <v>83</v>
      </c>
      <c r="I94" s="55"/>
      <c r="J94" s="100"/>
      <c r="K94" s="100"/>
      <c r="L94" s="55"/>
      <c r="M94" s="55"/>
      <c r="N94" s="55"/>
      <c r="O94" s="55"/>
      <c r="P94" s="55"/>
      <c r="Q94" s="55"/>
      <c r="R94" s="55"/>
      <c r="S94" s="55"/>
      <c r="T94" s="55"/>
      <c r="U94" s="103" t="str">
        <f>IF(R112&lt;F95, "Je peux Attaquer", "Je n'attaque pas")</f>
        <v>Je peux Attaquer</v>
      </c>
      <c r="V94" s="55"/>
      <c r="W94" s="55"/>
      <c r="X94" s="55"/>
      <c r="Y94" s="22"/>
    </row>
    <row r="95" spans="2:25">
      <c r="B95" s="21"/>
      <c r="C95" s="1"/>
      <c r="D95" s="56">
        <f>IF(Q33=0,0,Q33)</f>
        <v>18000</v>
      </c>
      <c r="E95" s="55"/>
      <c r="F95" s="56">
        <f>Q18+Q19+Q20+Q21+Q22+Q23+Q26+Q27+Q28+Q29+Q30+Q31</f>
        <v>18000</v>
      </c>
      <c r="G95" s="55"/>
      <c r="H95" s="29" t="s">
        <v>60</v>
      </c>
      <c r="I95" s="29" t="s">
        <v>16</v>
      </c>
      <c r="J95" s="30" t="s">
        <v>24</v>
      </c>
      <c r="K95" s="30" t="s">
        <v>63</v>
      </c>
      <c r="L95" s="31" t="s">
        <v>65</v>
      </c>
      <c r="M95" s="31" t="s">
        <v>64</v>
      </c>
      <c r="N95" s="31" t="s">
        <v>65</v>
      </c>
      <c r="O95" s="55"/>
      <c r="P95" s="29" t="s">
        <v>60</v>
      </c>
      <c r="Q95" s="30" t="s">
        <v>24</v>
      </c>
      <c r="R95" s="30" t="s">
        <v>77</v>
      </c>
      <c r="S95" s="30" t="s">
        <v>16</v>
      </c>
      <c r="T95" s="55"/>
      <c r="U95" s="31" t="s">
        <v>78</v>
      </c>
      <c r="V95" s="30" t="s">
        <v>81</v>
      </c>
      <c r="W95" s="55"/>
      <c r="X95" s="55"/>
      <c r="Y95" s="22"/>
    </row>
    <row r="96" spans="2:25">
      <c r="B96" s="21"/>
      <c r="C96" s="1"/>
      <c r="D96" s="2" t="s">
        <v>67</v>
      </c>
      <c r="E96" s="55"/>
      <c r="F96" s="55"/>
      <c r="G96" s="55"/>
      <c r="H96" s="13" t="s">
        <v>47</v>
      </c>
      <c r="I96" s="58">
        <f>D$95</f>
        <v>18000</v>
      </c>
      <c r="J96" s="43">
        <f>I96/(D18+D18*D$97/10)</f>
        <v>2250</v>
      </c>
      <c r="K96" s="43">
        <f>J96*(F18+F18*D$99/10)</f>
        <v>4500</v>
      </c>
      <c r="L96" s="43">
        <f>K96/(D$18+D$18*F$7/10)</f>
        <v>562.5</v>
      </c>
      <c r="M96" s="43">
        <f>K96/10</f>
        <v>450</v>
      </c>
      <c r="N96" s="95">
        <f>M96/(D$18+D$18*F$7/10)</f>
        <v>56.25</v>
      </c>
      <c r="O96" s="55"/>
      <c r="P96" s="13" t="s">
        <v>47</v>
      </c>
      <c r="Q96" s="98"/>
      <c r="R96" s="43">
        <f>Q96*(F18+F18*D$99/10)</f>
        <v>0</v>
      </c>
      <c r="S96" s="43">
        <f>Q96*(D18+D18*D$97/10)</f>
        <v>0</v>
      </c>
      <c r="T96" s="55"/>
      <c r="U96" s="43">
        <f>IF(S111/(I18)&gt;O18,O18,S111/(I18))</f>
        <v>0</v>
      </c>
      <c r="V96" s="101">
        <f>IF((R112-(U96*J18))/J18&gt;O18-U96,O18-U96,((R112-(U96*J18))/J18))</f>
        <v>0</v>
      </c>
      <c r="W96" s="55"/>
      <c r="X96" s="55"/>
      <c r="Y96" s="22"/>
    </row>
    <row r="97" spans="2:25">
      <c r="B97" s="21"/>
      <c r="C97" s="1"/>
      <c r="D97" s="84"/>
      <c r="E97" s="55"/>
      <c r="F97" s="55"/>
      <c r="G97" s="55"/>
      <c r="H97" s="13" t="s">
        <v>5</v>
      </c>
      <c r="I97" s="58">
        <f t="shared" ref="I97:I109" si="40">D$95</f>
        <v>18000</v>
      </c>
      <c r="J97" s="43">
        <f>I97/(D19+D19*D$97/10)</f>
        <v>1800</v>
      </c>
      <c r="K97" s="43">
        <f t="shared" ref="K97:K109" si="41">J97*(F19+F19*D$99/10)</f>
        <v>7200</v>
      </c>
      <c r="L97" s="43">
        <f t="shared" ref="L97:L109" si="42">K97/(D$18+D$18*F$7/10)</f>
        <v>900</v>
      </c>
      <c r="M97" s="43">
        <f t="shared" ref="M97:M109" si="43">K97/10</f>
        <v>720</v>
      </c>
      <c r="N97" s="95">
        <f t="shared" ref="N97:N109" si="44">M97/(D$18+D$18*F$7/10)</f>
        <v>90</v>
      </c>
      <c r="O97" s="55"/>
      <c r="P97" s="13" t="s">
        <v>5</v>
      </c>
      <c r="Q97" s="98"/>
      <c r="R97" s="43">
        <f t="shared" ref="R97:R109" si="45">Q97*(F19+F19*D$99/10)</f>
        <v>0</v>
      </c>
      <c r="S97" s="43">
        <f t="shared" ref="S97:S109" si="46">Q97*(D19+D19*D$97/10)</f>
        <v>0</v>
      </c>
      <c r="T97" s="55"/>
      <c r="U97" s="101"/>
      <c r="V97" s="43">
        <f>IF((R112-(U96*J18+V96*J18))/J19&gt;O19,O19,(R112-(U96*J18+V96*J18))/J19)</f>
        <v>0</v>
      </c>
      <c r="W97" s="55"/>
      <c r="X97" s="55"/>
      <c r="Y97" s="22"/>
    </row>
    <row r="98" spans="2:25">
      <c r="B98" s="21"/>
      <c r="C98" s="1"/>
      <c r="D98" s="2" t="s">
        <v>68</v>
      </c>
      <c r="E98" s="55"/>
      <c r="F98" s="55"/>
      <c r="G98" s="55"/>
      <c r="H98" s="13" t="s">
        <v>6</v>
      </c>
      <c r="I98" s="58">
        <f t="shared" si="40"/>
        <v>18000</v>
      </c>
      <c r="J98" s="43">
        <f>I98/(D20+D20*D$97/10)</f>
        <v>1384.6153846153845</v>
      </c>
      <c r="K98" s="43">
        <f t="shared" si="41"/>
        <v>8307.6923076923067</v>
      </c>
      <c r="L98" s="43">
        <f t="shared" si="42"/>
        <v>1038.4615384615383</v>
      </c>
      <c r="M98" s="43">
        <f t="shared" si="43"/>
        <v>830.76923076923072</v>
      </c>
      <c r="N98" s="95">
        <f t="shared" si="44"/>
        <v>103.84615384615384</v>
      </c>
      <c r="O98" s="55"/>
      <c r="P98" s="13" t="s">
        <v>6</v>
      </c>
      <c r="Q98" s="98"/>
      <c r="R98" s="43">
        <f t="shared" si="45"/>
        <v>0</v>
      </c>
      <c r="S98" s="43">
        <f t="shared" si="46"/>
        <v>0</v>
      </c>
      <c r="T98" s="55"/>
      <c r="U98" s="101"/>
      <c r="V98" s="43">
        <f>IF((R112-(U96*J18+U99*J21+V97*J19+V96*J18))/J20&gt;O20,O20,(R112-(U96*J18+U99*J21+V97*J19+V96*J18))/J20)</f>
        <v>0</v>
      </c>
      <c r="W98" s="55"/>
      <c r="X98" s="55"/>
      <c r="Y98" s="22"/>
    </row>
    <row r="99" spans="2:25">
      <c r="B99" s="21"/>
      <c r="C99" s="1"/>
      <c r="D99" s="84"/>
      <c r="E99" s="55"/>
      <c r="F99" s="55"/>
      <c r="G99" s="55"/>
      <c r="H99" s="13" t="s">
        <v>7</v>
      </c>
      <c r="I99" s="58">
        <f t="shared" si="40"/>
        <v>18000</v>
      </c>
      <c r="J99" s="43">
        <f>I99/(D21+D21*D$97/10)</f>
        <v>1125</v>
      </c>
      <c r="K99" s="43">
        <f t="shared" si="41"/>
        <v>10125</v>
      </c>
      <c r="L99" s="43">
        <f t="shared" si="42"/>
        <v>1265.625</v>
      </c>
      <c r="M99" s="43">
        <f t="shared" si="43"/>
        <v>1012.5</v>
      </c>
      <c r="N99" s="95">
        <f t="shared" si="44"/>
        <v>126.5625</v>
      </c>
      <c r="O99" s="55"/>
      <c r="P99" s="13" t="s">
        <v>7</v>
      </c>
      <c r="Q99" s="98"/>
      <c r="R99" s="43">
        <f t="shared" si="45"/>
        <v>0</v>
      </c>
      <c r="S99" s="43">
        <f t="shared" si="46"/>
        <v>0</v>
      </c>
      <c r="T99" s="55"/>
      <c r="U99" s="43">
        <f>IF((S111-U96*I18)/I21&gt;O21,O21,(S111-U96*I18)/I21)</f>
        <v>0</v>
      </c>
      <c r="V99" s="101">
        <f>IF((R112-(U96*J18+U99*J21+V97*J19+V96*J18+V98*J20))/J21&gt;(O21-U99),(O21-U99),(R112-(U96*J18+U99*J21+V97*J19+V96*J18+V98*J20))/J21)</f>
        <v>0</v>
      </c>
      <c r="W99" s="55"/>
      <c r="X99" s="55"/>
      <c r="Y99" s="22"/>
    </row>
    <row r="100" spans="2:25">
      <c r="B100" s="21"/>
      <c r="C100" s="1"/>
      <c r="D100" s="55"/>
      <c r="E100" s="55"/>
      <c r="F100" s="55"/>
      <c r="G100" s="55"/>
      <c r="H100" s="13" t="s">
        <v>8</v>
      </c>
      <c r="I100" s="58">
        <f t="shared" si="40"/>
        <v>18000</v>
      </c>
      <c r="J100" s="43">
        <f>I100/(D22+D22*D$97/10)</f>
        <v>900</v>
      </c>
      <c r="K100" s="43">
        <f t="shared" si="41"/>
        <v>12600</v>
      </c>
      <c r="L100" s="43">
        <f t="shared" si="42"/>
        <v>1575</v>
      </c>
      <c r="M100" s="43">
        <f t="shared" si="43"/>
        <v>1260</v>
      </c>
      <c r="N100" s="95">
        <f t="shared" si="44"/>
        <v>157.5</v>
      </c>
      <c r="O100" s="55"/>
      <c r="P100" s="13" t="s">
        <v>8</v>
      </c>
      <c r="Q100" s="98"/>
      <c r="R100" s="43">
        <f t="shared" si="45"/>
        <v>0</v>
      </c>
      <c r="S100" s="43">
        <f t="shared" si="46"/>
        <v>0</v>
      </c>
      <c r="T100" s="55"/>
      <c r="U100" s="101"/>
      <c r="V100" s="43">
        <f>IF((R112-(U96*J18+U99*J21+V97*J19+V98*J20+V96*J18+J21*V99))/J22&gt;O22,O22,(R112-(U96*J18+U99*J21+V97*J19+V98*J20+V96*J18+J21*V99))/J22)</f>
        <v>0</v>
      </c>
      <c r="W100" s="55"/>
      <c r="X100" s="55"/>
      <c r="Y100" s="22"/>
    </row>
    <row r="101" spans="2:25">
      <c r="B101" s="21"/>
      <c r="C101" s="1"/>
      <c r="D101" s="55"/>
      <c r="E101" s="55"/>
      <c r="F101" s="55"/>
      <c r="G101" s="55"/>
      <c r="H101" s="13" t="s">
        <v>21</v>
      </c>
      <c r="I101" s="58">
        <f t="shared" si="40"/>
        <v>18000</v>
      </c>
      <c r="J101" s="43">
        <f>I101/(D23+D23*D$97/10)</f>
        <v>666.66666666666663</v>
      </c>
      <c r="K101" s="43">
        <f t="shared" si="41"/>
        <v>15333.333333333332</v>
      </c>
      <c r="L101" s="43">
        <f t="shared" si="42"/>
        <v>1916.6666666666665</v>
      </c>
      <c r="M101" s="43">
        <f t="shared" si="43"/>
        <v>1533.3333333333333</v>
      </c>
      <c r="N101" s="95">
        <f t="shared" si="44"/>
        <v>191.66666666666666</v>
      </c>
      <c r="O101" s="55"/>
      <c r="P101" s="13" t="s">
        <v>21</v>
      </c>
      <c r="Q101" s="98"/>
      <c r="R101" s="43">
        <f t="shared" si="45"/>
        <v>0</v>
      </c>
      <c r="S101" s="43">
        <f t="shared" si="46"/>
        <v>0</v>
      </c>
      <c r="T101" s="55"/>
      <c r="U101" s="101"/>
      <c r="V101" s="43">
        <f>IF((R112-(U96*J18+U99*J21+V97*J19+V98*J20+V100*J22+V96*J18+J21*V99))/J23&gt;O23,O23,(R112-(U96*J18+U99*J21+V97*J19+V98*J20+V100*J22+V96*J18+J21*V99))/J23)</f>
        <v>0</v>
      </c>
      <c r="W101" s="55"/>
      <c r="X101" s="55"/>
      <c r="Y101" s="22"/>
    </row>
    <row r="102" spans="2:25" ht="15" customHeight="1">
      <c r="B102" s="21"/>
      <c r="C102" s="92" t="s">
        <v>66</v>
      </c>
      <c r="D102" s="92"/>
      <c r="E102" s="92"/>
      <c r="F102" s="92"/>
      <c r="G102" s="93"/>
      <c r="H102" s="13" t="s">
        <v>9</v>
      </c>
      <c r="I102" s="58">
        <f t="shared" si="40"/>
        <v>18000</v>
      </c>
      <c r="J102" s="43">
        <f>I102/(D24+D24*D$97/10)</f>
        <v>600</v>
      </c>
      <c r="K102" s="43">
        <f t="shared" si="41"/>
        <v>15000</v>
      </c>
      <c r="L102" s="43">
        <f t="shared" si="42"/>
        <v>1875</v>
      </c>
      <c r="M102" s="43">
        <f t="shared" si="43"/>
        <v>1500</v>
      </c>
      <c r="N102" s="95">
        <f t="shared" si="44"/>
        <v>187.5</v>
      </c>
      <c r="O102" s="55"/>
      <c r="P102" s="13" t="s">
        <v>9</v>
      </c>
      <c r="Q102" s="98"/>
      <c r="R102" s="43">
        <f t="shared" si="45"/>
        <v>0</v>
      </c>
      <c r="S102" s="43">
        <f t="shared" si="46"/>
        <v>0</v>
      </c>
      <c r="T102" s="55"/>
      <c r="U102" s="101"/>
      <c r="V102" s="101"/>
      <c r="W102" s="55"/>
      <c r="X102" s="55"/>
      <c r="Y102" s="22"/>
    </row>
    <row r="103" spans="2:25">
      <c r="B103" s="21"/>
      <c r="C103" s="92"/>
      <c r="D103" s="92"/>
      <c r="E103" s="92"/>
      <c r="F103" s="92"/>
      <c r="G103" s="93"/>
      <c r="H103" s="13" t="s">
        <v>22</v>
      </c>
      <c r="I103" s="58">
        <f t="shared" si="40"/>
        <v>18000</v>
      </c>
      <c r="J103" s="43">
        <f>I103/(D25+D25*D$97/10)</f>
        <v>450</v>
      </c>
      <c r="K103" s="43">
        <f t="shared" si="41"/>
        <v>15750</v>
      </c>
      <c r="L103" s="43">
        <f t="shared" si="42"/>
        <v>1968.75</v>
      </c>
      <c r="M103" s="43">
        <f t="shared" si="43"/>
        <v>1575</v>
      </c>
      <c r="N103" s="95">
        <f t="shared" si="44"/>
        <v>196.875</v>
      </c>
      <c r="O103" s="55"/>
      <c r="P103" s="13" t="s">
        <v>22</v>
      </c>
      <c r="Q103" s="98"/>
      <c r="R103" s="43">
        <f t="shared" si="45"/>
        <v>0</v>
      </c>
      <c r="S103" s="43">
        <f t="shared" si="46"/>
        <v>0</v>
      </c>
      <c r="T103" s="55"/>
      <c r="U103" s="101"/>
      <c r="V103" s="101"/>
      <c r="W103" s="55"/>
      <c r="X103" s="55"/>
      <c r="Y103" s="22"/>
    </row>
    <row r="104" spans="2:25">
      <c r="B104" s="21"/>
      <c r="C104" s="92"/>
      <c r="D104" s="92"/>
      <c r="E104" s="92"/>
      <c r="F104" s="92"/>
      <c r="G104" s="93"/>
      <c r="H104" s="13" t="s">
        <v>10</v>
      </c>
      <c r="I104" s="58">
        <f t="shared" si="40"/>
        <v>18000</v>
      </c>
      <c r="J104" s="43">
        <f>I104/(D26+D26*D$97/10)</f>
        <v>1800</v>
      </c>
      <c r="K104" s="43">
        <f t="shared" si="41"/>
        <v>27000</v>
      </c>
      <c r="L104" s="43">
        <f t="shared" si="42"/>
        <v>3375</v>
      </c>
      <c r="M104" s="43">
        <f t="shared" si="43"/>
        <v>2700</v>
      </c>
      <c r="N104" s="95">
        <f t="shared" si="44"/>
        <v>337.5</v>
      </c>
      <c r="O104" s="55"/>
      <c r="P104" s="13" t="s">
        <v>10</v>
      </c>
      <c r="Q104" s="98"/>
      <c r="R104" s="43">
        <f t="shared" si="45"/>
        <v>0</v>
      </c>
      <c r="S104" s="43">
        <f t="shared" si="46"/>
        <v>0</v>
      </c>
      <c r="T104" s="55"/>
      <c r="U104" s="101"/>
      <c r="V104" s="43">
        <f>IF((R112-(U96*J18+U99*J21+V97*J19+V98*J20+V100*J22+V101*J23+V96*J18+J21*V99))/J26&gt;O26,O26,(R112-(U96*J18+U99*J21+V97*J19+V98*J20+V100*J22+V101*J23+V96*J18+J21*V99))/J26)</f>
        <v>0</v>
      </c>
      <c r="W104" s="55"/>
      <c r="X104" s="55"/>
      <c r="Y104" s="22"/>
    </row>
    <row r="105" spans="2:25">
      <c r="B105" s="21"/>
      <c r="C105" s="92"/>
      <c r="D105" s="92"/>
      <c r="E105" s="92"/>
      <c r="F105" s="92"/>
      <c r="G105" s="93"/>
      <c r="H105" s="13" t="s">
        <v>11</v>
      </c>
      <c r="I105" s="58">
        <f t="shared" si="40"/>
        <v>18000</v>
      </c>
      <c r="J105" s="43">
        <f>I105/(D27+D27*D$97/10)</f>
        <v>1500</v>
      </c>
      <c r="K105" s="43">
        <f t="shared" si="41"/>
        <v>27000</v>
      </c>
      <c r="L105" s="43">
        <f t="shared" si="42"/>
        <v>3375</v>
      </c>
      <c r="M105" s="43">
        <f t="shared" si="43"/>
        <v>2700</v>
      </c>
      <c r="N105" s="95">
        <f t="shared" si="44"/>
        <v>337.5</v>
      </c>
      <c r="O105" s="1"/>
      <c r="P105" s="13" t="s">
        <v>11</v>
      </c>
      <c r="Q105" s="98"/>
      <c r="R105" s="43">
        <f t="shared" si="45"/>
        <v>0</v>
      </c>
      <c r="S105" s="43">
        <f t="shared" si="46"/>
        <v>0</v>
      </c>
      <c r="T105" s="55"/>
      <c r="U105" s="101"/>
      <c r="V105" s="43">
        <f>IF((R112-(U96*J18+U99*J21+V97*J19+V98*J20+V100*J22+V101*J23+V104*J26+V96*J18+J21*V99))/J27&gt;O27,O27,(R112-(U96*J18+U99*J21+V97*J19+V98*J20+V100*J22+V101*J23+V104*J26+V96*J18+J21*V99))/J27)</f>
        <v>0</v>
      </c>
      <c r="W105" s="55"/>
      <c r="X105" s="1"/>
      <c r="Y105" s="22"/>
    </row>
    <row r="106" spans="2:25">
      <c r="B106" s="21"/>
      <c r="C106" s="92"/>
      <c r="D106" s="92"/>
      <c r="E106" s="92"/>
      <c r="F106" s="92"/>
      <c r="G106" s="93"/>
      <c r="H106" s="13" t="s">
        <v>12</v>
      </c>
      <c r="I106" s="58">
        <f t="shared" si="40"/>
        <v>18000</v>
      </c>
      <c r="J106" s="43">
        <f>I106/(D28+D28*D$97/10)</f>
        <v>514.28571428571433</v>
      </c>
      <c r="K106" s="43">
        <f t="shared" si="41"/>
        <v>514.28571428571433</v>
      </c>
      <c r="L106" s="43">
        <f t="shared" si="42"/>
        <v>64.285714285714292</v>
      </c>
      <c r="M106" s="43">
        <f t="shared" si="43"/>
        <v>51.428571428571431</v>
      </c>
      <c r="N106" s="95">
        <f t="shared" si="44"/>
        <v>6.4285714285714288</v>
      </c>
      <c r="O106" s="1"/>
      <c r="P106" s="13" t="s">
        <v>12</v>
      </c>
      <c r="Q106" s="98"/>
      <c r="R106" s="43">
        <f t="shared" si="45"/>
        <v>0</v>
      </c>
      <c r="S106" s="43">
        <f t="shared" si="46"/>
        <v>0</v>
      </c>
      <c r="T106" s="55"/>
      <c r="U106" s="101"/>
      <c r="V106" s="43">
        <f>IF((R112-(U96*J18+U99*J21+V97*J19+V98*J20+V100*J22+V101*J23+V104*J26+V105*J27+V96*J18+J21*V99))/J28&gt;O28,O28,(R112-(U96*J18+U99*J21+V97*J19+V98*J20+V100*J22+V101*J23+V104*J26+V105*J27+V96*J18+J21*V99))/J28)</f>
        <v>0</v>
      </c>
      <c r="W106" s="55"/>
      <c r="X106" s="1"/>
      <c r="Y106" s="22"/>
    </row>
    <row r="107" spans="2:25">
      <c r="B107" s="21"/>
      <c r="C107" s="92"/>
      <c r="D107" s="92"/>
      <c r="E107" s="92"/>
      <c r="F107" s="92"/>
      <c r="G107" s="93"/>
      <c r="H107" s="13" t="s">
        <v>13</v>
      </c>
      <c r="I107" s="58">
        <f t="shared" si="40"/>
        <v>18000</v>
      </c>
      <c r="J107" s="43">
        <f>I107/(D29+D29*D$97/10)</f>
        <v>360</v>
      </c>
      <c r="K107" s="43">
        <f t="shared" si="41"/>
        <v>360</v>
      </c>
      <c r="L107" s="43">
        <f t="shared" si="42"/>
        <v>45</v>
      </c>
      <c r="M107" s="43">
        <f t="shared" si="43"/>
        <v>36</v>
      </c>
      <c r="N107" s="95">
        <f t="shared" si="44"/>
        <v>4.5</v>
      </c>
      <c r="O107" s="1"/>
      <c r="P107" s="13" t="s">
        <v>13</v>
      </c>
      <c r="Q107" s="98"/>
      <c r="R107" s="43">
        <f t="shared" si="45"/>
        <v>0</v>
      </c>
      <c r="S107" s="43">
        <f t="shared" si="46"/>
        <v>0</v>
      </c>
      <c r="T107" s="55"/>
      <c r="U107" s="101"/>
      <c r="V107" s="43">
        <f>IF((R112-(U96*J18+U99*J21+V97*J19+V98*J20+V100*J22+V101*J23+V104*J26+V105*J27+V106*J28+V96*J18+J21*V99))/J29&gt;O29,O29,(R112-(U96*J18+U99*J21+V97*J19+V98*J20+V100*J22+V101*J23+V104*J26+V105*J27+V106*J28+V96*J18+J21*V99))/J29)</f>
        <v>0</v>
      </c>
      <c r="W107" s="55"/>
      <c r="X107" s="1"/>
      <c r="Y107" s="22"/>
    </row>
    <row r="108" spans="2:25">
      <c r="B108" s="21"/>
      <c r="C108" s="92"/>
      <c r="D108" s="92"/>
      <c r="E108" s="92"/>
      <c r="F108" s="92"/>
      <c r="G108" s="93"/>
      <c r="H108" s="13" t="s">
        <v>14</v>
      </c>
      <c r="I108" s="58">
        <f t="shared" si="40"/>
        <v>18000</v>
      </c>
      <c r="J108" s="43">
        <f>I108/(D30+D30*D$97/10)</f>
        <v>360</v>
      </c>
      <c r="K108" s="43">
        <f t="shared" si="41"/>
        <v>18000</v>
      </c>
      <c r="L108" s="43">
        <f t="shared" si="42"/>
        <v>2250</v>
      </c>
      <c r="M108" s="43">
        <f t="shared" si="43"/>
        <v>1800</v>
      </c>
      <c r="N108" s="95">
        <f t="shared" si="44"/>
        <v>225</v>
      </c>
      <c r="O108" s="1"/>
      <c r="P108" s="13" t="s">
        <v>14</v>
      </c>
      <c r="Q108" s="98"/>
      <c r="R108" s="43">
        <f t="shared" si="45"/>
        <v>0</v>
      </c>
      <c r="S108" s="43">
        <f t="shared" si="46"/>
        <v>0</v>
      </c>
      <c r="T108" s="55"/>
      <c r="U108" s="101"/>
      <c r="V108" s="43">
        <f>IF((R112-(U96*J18+U99*J21+V97*J19+V98*J20+V100*J22+V101*J23+V104*J26+V105*J27+V106*J28+V107*J29+V96*J18+J21*V99))/J30&gt;O30,O30,(R112-(U96*J18+U99*J21+V97*J19+V98*J20+V100*J22+V101*J23+V104*J26+V105*J27+V106*J28+V107*J29+V96*J18+J21*V99))/J30)</f>
        <v>0</v>
      </c>
      <c r="W108" s="55"/>
      <c r="X108" s="1"/>
      <c r="Y108" s="22"/>
    </row>
    <row r="109" spans="2:25">
      <c r="B109" s="21"/>
      <c r="C109" s="92"/>
      <c r="D109" s="92"/>
      <c r="E109" s="92"/>
      <c r="F109" s="92"/>
      <c r="G109" s="93"/>
      <c r="H109" s="14" t="s">
        <v>15</v>
      </c>
      <c r="I109" s="96">
        <f t="shared" si="40"/>
        <v>18000</v>
      </c>
      <c r="J109" s="44">
        <f>I109/(D31+D31*D$97/10)</f>
        <v>327.27272727272725</v>
      </c>
      <c r="K109" s="35">
        <f t="shared" si="41"/>
        <v>18000</v>
      </c>
      <c r="L109" s="44">
        <f t="shared" si="42"/>
        <v>2250</v>
      </c>
      <c r="M109" s="44">
        <f t="shared" si="43"/>
        <v>1800</v>
      </c>
      <c r="N109" s="97">
        <f t="shared" si="44"/>
        <v>225</v>
      </c>
      <c r="O109" s="1"/>
      <c r="P109" s="14" t="s">
        <v>15</v>
      </c>
      <c r="Q109" s="99"/>
      <c r="R109" s="43">
        <f t="shared" si="45"/>
        <v>0</v>
      </c>
      <c r="S109" s="43">
        <f t="shared" si="46"/>
        <v>0</v>
      </c>
      <c r="T109" s="55"/>
      <c r="U109" s="102"/>
      <c r="V109" s="43">
        <f>IF((R112-(U96*J18+U99*J21+V97*J19+V98*J20+V100*J22+V101*J23+V104*J26+V105*J27+V106*J28+V107*J29+V108*J30+V96*J18+J21*V99))/J31&gt;O31,O31,(R112-(U96*J18+V96*J18+J21*V99+U99*J21+V97*J19+V98*J20+V100*J22+V101*J23+V104*J26+V105*J27+V106*J28+V107*J29+V108*J30))/J31)</f>
        <v>0</v>
      </c>
      <c r="W109" s="55"/>
      <c r="X109" s="1"/>
      <c r="Y109" s="22"/>
    </row>
    <row r="110" spans="2:25">
      <c r="B110" s="2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55" t="s">
        <v>79</v>
      </c>
      <c r="T110" s="55"/>
      <c r="U110" s="78" t="s">
        <v>80</v>
      </c>
      <c r="V110" s="78" t="s">
        <v>80</v>
      </c>
      <c r="W110" s="1"/>
      <c r="X110" s="1"/>
      <c r="Y110" s="22"/>
    </row>
    <row r="111" spans="2:25">
      <c r="B111" s="21"/>
      <c r="C111" s="1"/>
      <c r="D111" s="1"/>
      <c r="E111" s="1"/>
      <c r="F111" s="1"/>
      <c r="G111" s="1"/>
      <c r="H111" s="55" t="s">
        <v>72</v>
      </c>
      <c r="I111" s="55"/>
      <c r="J111" s="1"/>
      <c r="K111" s="1"/>
      <c r="L111" s="1"/>
      <c r="M111" s="91"/>
      <c r="N111" s="56">
        <f>(MAX(L96:L109))</f>
        <v>3375</v>
      </c>
      <c r="O111" s="94" t="s">
        <v>69</v>
      </c>
      <c r="P111" s="55" t="s">
        <v>75</v>
      </c>
      <c r="Q111" s="1"/>
      <c r="R111" s="56">
        <f>SUM(R96:R109)</f>
        <v>0</v>
      </c>
      <c r="S111" s="56">
        <f>R111/10</f>
        <v>0</v>
      </c>
      <c r="T111" s="4"/>
      <c r="U111" s="56">
        <f>U96*I18+I21*U99</f>
        <v>0</v>
      </c>
      <c r="V111" s="56">
        <f>U96*J18+U99*J21+V97*J19+J20*V98+V100*J22+J23*V101+V104*J26+J27*V105+V106*J28+J29*V107+V108*J30+J31*V109+V96*J18+J21*V99</f>
        <v>0</v>
      </c>
      <c r="W111" s="1"/>
      <c r="X111" s="1"/>
      <c r="Y111" s="22"/>
    </row>
    <row r="112" spans="2:25">
      <c r="B112" s="21"/>
      <c r="C112" s="1"/>
      <c r="D112" s="1"/>
      <c r="E112" s="1"/>
      <c r="F112" s="1"/>
      <c r="G112" s="1"/>
      <c r="H112" s="55" t="s">
        <v>73</v>
      </c>
      <c r="I112" s="55"/>
      <c r="J112" s="1"/>
      <c r="K112" s="1"/>
      <c r="L112" s="1"/>
      <c r="M112" s="91"/>
      <c r="N112" s="56">
        <f>MAX(N96:N109)</f>
        <v>337.5</v>
      </c>
      <c r="O112" s="94" t="s">
        <v>69</v>
      </c>
      <c r="P112" s="55" t="s">
        <v>76</v>
      </c>
      <c r="Q112" s="1"/>
      <c r="R112" s="56">
        <f>SUM(S96:S109)</f>
        <v>0</v>
      </c>
      <c r="S112" s="4"/>
      <c r="T112" s="4"/>
      <c r="U112" s="2" t="str">
        <f>IF(U111&lt;S111,"Tampon insuffisant", "Tampon suffisant")</f>
        <v>Tampon suffisant</v>
      </c>
      <c r="V112" s="2" t="str">
        <f>IF(V111&lt;R112, "fortes pertes","Attaque optimale")</f>
        <v>Attaque optimale</v>
      </c>
      <c r="W112" s="4"/>
      <c r="X112" s="1"/>
      <c r="Y112" s="22"/>
    </row>
    <row r="113" spans="2:25"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7"/>
    </row>
  </sheetData>
  <mergeCells count="9">
    <mergeCell ref="C102:G109"/>
    <mergeCell ref="P40:Q40"/>
    <mergeCell ref="C2:W2"/>
    <mergeCell ref="D38:F38"/>
    <mergeCell ref="D48:G48"/>
    <mergeCell ref="C15:G15"/>
    <mergeCell ref="D5:F5"/>
    <mergeCell ref="N15:R15"/>
    <mergeCell ref="I15:L15"/>
  </mergeCells>
  <conditionalFormatting sqref="V51:X64">
    <cfRule type="cellIs" priority="47" stopIfTrue="1" operator="equal">
      <formula>0</formula>
    </cfRule>
  </conditionalFormatting>
  <conditionalFormatting sqref="V59:X61 V63:X64 X51:X64 V51:X57 W52:W64 V51:V64">
    <cfRule type="cellIs" dxfId="6" priority="51" stopIfTrue="1" operator="lessThan">
      <formula>$P$40</formula>
    </cfRule>
  </conditionalFormatting>
  <conditionalFormatting sqref="W51:X64">
    <cfRule type="dataBar" priority="36">
      <dataBar>
        <cfvo type="min" val="0"/>
        <cfvo type="max" val="0"/>
        <color rgb="FFFFB628"/>
      </dataBar>
    </cfRule>
  </conditionalFormatting>
  <conditionalFormatting sqref="J76:J87">
    <cfRule type="dataBar" priority="83">
      <dataBar>
        <cfvo type="min" val="0"/>
        <cfvo type="max" val="0"/>
        <color rgb="FFFFB628"/>
      </dataBar>
    </cfRule>
  </conditionalFormatting>
  <conditionalFormatting sqref="P76:P87">
    <cfRule type="dataBar" priority="85">
      <dataBar>
        <cfvo type="min" val="0"/>
        <cfvo type="max" val="0"/>
        <color rgb="FFFFB628"/>
      </dataBar>
    </cfRule>
  </conditionalFormatting>
  <conditionalFormatting sqref="V76:V87">
    <cfRule type="dataBar" priority="87">
      <dataBar>
        <cfvo type="min" val="0"/>
        <cfvo type="max" val="0"/>
        <color rgb="FFFFB628"/>
      </dataBar>
    </cfRule>
  </conditionalFormatting>
  <conditionalFormatting sqref="K76:K87">
    <cfRule type="dataBar" priority="89">
      <dataBar>
        <cfvo type="min" val="0"/>
        <cfvo type="max" val="0"/>
        <color rgb="FFFF555A"/>
      </dataBar>
    </cfRule>
  </conditionalFormatting>
  <conditionalFormatting sqref="L76:L87">
    <cfRule type="dataBar" priority="91">
      <dataBar>
        <cfvo type="min" val="0"/>
        <cfvo type="max" val="0"/>
        <color rgb="FF63C384"/>
      </dataBar>
    </cfRule>
  </conditionalFormatting>
  <conditionalFormatting sqref="Q76:Q87">
    <cfRule type="dataBar" priority="93">
      <dataBar>
        <cfvo type="min" val="0"/>
        <cfvo type="max" val="0"/>
        <color rgb="FF638EC6"/>
      </dataBar>
    </cfRule>
  </conditionalFormatting>
  <conditionalFormatting sqref="R76:R87">
    <cfRule type="dataBar" priority="95">
      <dataBar>
        <cfvo type="min" val="0"/>
        <cfvo type="max" val="0"/>
        <color rgb="FF63C384"/>
      </dataBar>
    </cfRule>
  </conditionalFormatting>
  <conditionalFormatting sqref="W76:W87">
    <cfRule type="dataBar" priority="97">
      <dataBar>
        <cfvo type="min" val="0"/>
        <cfvo type="max" val="0"/>
        <color rgb="FFFF555A"/>
      </dataBar>
    </cfRule>
  </conditionalFormatting>
  <conditionalFormatting sqref="X76:X87">
    <cfRule type="dataBar" priority="99">
      <dataBar>
        <cfvo type="min" val="0"/>
        <cfvo type="max" val="0"/>
        <color rgb="FF638EC6"/>
      </dataBar>
    </cfRule>
  </conditionalFormatting>
  <conditionalFormatting sqref="V51:V64">
    <cfRule type="dataBar" priority="16">
      <dataBar>
        <cfvo type="min" val="0"/>
        <cfvo type="max" val="0"/>
        <color rgb="FFFFB628"/>
      </dataBar>
    </cfRule>
  </conditionalFormatting>
  <conditionalFormatting sqref="U94">
    <cfRule type="cellIs" dxfId="5" priority="5" operator="equal">
      <formula>"Je n'attaque pas"</formula>
    </cfRule>
    <cfRule type="cellIs" dxfId="4" priority="6" operator="equal">
      <formula>"Je peux attaquer"</formula>
    </cfRule>
  </conditionalFormatting>
  <conditionalFormatting sqref="U112">
    <cfRule type="cellIs" dxfId="3" priority="4" operator="equal">
      <formula>"Tampon insuffisant"</formula>
    </cfRule>
    <cfRule type="cellIs" dxfId="2" priority="3" operator="equal">
      <formula>"Tampon suffisant"</formula>
    </cfRule>
  </conditionalFormatting>
  <conditionalFormatting sqref="V112">
    <cfRule type="cellIs" dxfId="1" priority="1" operator="equal">
      <formula>"Attaque optimale"</formula>
    </cfRule>
    <cfRule type="cellIs" dxfId="0" priority="2" operator="equal">
      <formula>"Fortes pertes"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Calcule tes fourmis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</dc:creator>
  <cp:lastModifiedBy>Fanch</cp:lastModifiedBy>
  <dcterms:created xsi:type="dcterms:W3CDTF">2015-03-24T12:29:41Z</dcterms:created>
  <dcterms:modified xsi:type="dcterms:W3CDTF">2015-03-29T06:14:48Z</dcterms:modified>
</cp:coreProperties>
</file>