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755"/>
  </bookViews>
  <sheets>
    <sheet name="Feuil1" sheetId="1" r:id="rId1"/>
  </sheets>
  <definedNames>
    <definedName name="_xlnm.Print_Area" localSheetId="0">Feuil1!$D$1:$M$29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1" l="1"/>
  <c r="L50" i="1"/>
  <c r="M49" i="1" l="1"/>
  <c r="L49" i="1"/>
  <c r="M48" i="1"/>
  <c r="L48" i="1"/>
  <c r="M47" i="1"/>
  <c r="L47" i="1"/>
  <c r="M46" i="1"/>
  <c r="L46" i="1"/>
  <c r="L45" i="1"/>
  <c r="L44" i="1"/>
  <c r="M44" i="1" s="1"/>
  <c r="M45" i="1" s="1"/>
  <c r="P49" i="1" l="1"/>
  <c r="P48" i="1"/>
  <c r="K40" i="1" l="1"/>
  <c r="I35" i="1"/>
  <c r="L35" i="1"/>
  <c r="G44" i="1"/>
  <c r="E44" i="1" l="1"/>
  <c r="G35" i="1"/>
  <c r="K35" i="1" s="1"/>
  <c r="F44" i="1" l="1"/>
  <c r="M35" i="1"/>
  <c r="N35" i="1" s="1"/>
  <c r="P35" i="1" s="1"/>
  <c r="H44" i="1"/>
  <c r="S19" i="1"/>
  <c r="S20" i="1"/>
  <c r="R22" i="1"/>
  <c r="G21" i="1" s="1"/>
  <c r="Q48" i="1" l="1"/>
  <c r="P45" i="1"/>
  <c r="P44" i="1"/>
  <c r="P46" i="1" s="1"/>
  <c r="Q49" i="1"/>
  <c r="P37" i="1"/>
  <c r="R23" i="1"/>
  <c r="E29" i="1"/>
  <c r="E13" i="1"/>
  <c r="F13" i="1"/>
  <c r="F46" i="1" l="1"/>
  <c r="G46" i="1"/>
  <c r="G13" i="1"/>
  <c r="L13" i="1" s="1"/>
  <c r="G20" i="1" s="1"/>
  <c r="F29" i="1" l="1"/>
  <c r="G29" i="1" s="1"/>
</calcChain>
</file>

<file path=xl/sharedStrings.xml><?xml version="1.0" encoding="utf-8"?>
<sst xmlns="http://schemas.openxmlformats.org/spreadsheetml/2006/main" count="64" uniqueCount="35">
  <si>
    <t>Cas Normale</t>
  </si>
  <si>
    <t>Nombre des Collaborateurs permanants</t>
  </si>
  <si>
    <t>Nombre des Collaborateurs pour lundi</t>
  </si>
  <si>
    <t>Cotisation Tamkeen*</t>
  </si>
  <si>
    <t>Cotosation Tamkeen</t>
  </si>
  <si>
    <t>Calcul des cotisations en Février 15</t>
  </si>
  <si>
    <t>Nombre des Repas/mois Equipe Permanante</t>
  </si>
  <si>
    <t>Nombre des Repas/mois Equipe Lundi</t>
  </si>
  <si>
    <t xml:space="preserve">Dépenses </t>
  </si>
  <si>
    <t>Cotisation  /  Repas</t>
  </si>
  <si>
    <t xml:space="preserve">Cotisation Equipe </t>
  </si>
  <si>
    <t>Epargne</t>
  </si>
  <si>
    <t>Ecart</t>
  </si>
  <si>
    <t>Cotisation Equipe (20 Repas)</t>
  </si>
  <si>
    <t>Cotisation Equipe (4 Repas)</t>
  </si>
  <si>
    <t>Calcul des cotisations en Avril 15</t>
  </si>
  <si>
    <t>Cotisation</t>
  </si>
  <si>
    <t>TMK</t>
  </si>
  <si>
    <t>Contribution</t>
  </si>
  <si>
    <t>Equipe Lundi</t>
  </si>
  <si>
    <t>Equipe Permanante</t>
  </si>
  <si>
    <t>Recette Equipe TMK</t>
  </si>
  <si>
    <t>Total des Recette</t>
  </si>
  <si>
    <t>Imprévu:</t>
  </si>
  <si>
    <t>*Grandegger Christina:</t>
  </si>
  <si>
    <t>Surplus (Stagiaire)</t>
  </si>
  <si>
    <t>Equipe Permante</t>
  </si>
  <si>
    <t>Cotosation</t>
  </si>
  <si>
    <t xml:space="preserve"> Tamkeen</t>
  </si>
  <si>
    <t xml:space="preserve">Equipe Lundi  </t>
  </si>
  <si>
    <t xml:space="preserve">Equipe Permannate </t>
  </si>
  <si>
    <t>Pourcentage</t>
  </si>
  <si>
    <t>Nbr Repas</t>
  </si>
  <si>
    <t>Montant Standard</t>
  </si>
  <si>
    <t>Montant / Repas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</si>
</sst>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ashed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17" fontId="1" fillId="0" borderId="1" xfId="0" applyNumberFormat="1" applyFont="1" applyBorder="1" applyAlignment="1">
      <alignment horizontal="left"/>
    </xf>
    <xf numFmtId="0" fontId="1" fillId="2" borderId="0" xfId="0" applyFont="1" applyFill="1"/>
    <xf numFmtId="4" fontId="0" fillId="2" borderId="0" xfId="0" applyNumberFormat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10" xfId="0" applyBorder="1"/>
    <xf numFmtId="0" fontId="4" fillId="0" borderId="0" xfId="0" applyFont="1" applyAlignment="1">
      <alignment horizontal="left" vertical="center"/>
    </xf>
    <xf numFmtId="4" fontId="1" fillId="3" borderId="6" xfId="0" applyNumberFormat="1" applyFont="1" applyFill="1" applyBorder="1"/>
    <xf numFmtId="4" fontId="1" fillId="2" borderId="6" xfId="0" applyNumberFormat="1" applyFont="1" applyFill="1" applyBorder="1"/>
    <xf numFmtId="14" fontId="0" fillId="2" borderId="0" xfId="0" applyNumberFormat="1" applyFill="1" applyAlignment="1">
      <alignment horizontal="center"/>
    </xf>
    <xf numFmtId="0" fontId="1" fillId="2" borderId="4" xfId="0" applyFont="1" applyFill="1" applyBorder="1"/>
    <xf numFmtId="0" fontId="1" fillId="3" borderId="6" xfId="0" applyFont="1" applyFill="1" applyBorder="1"/>
    <xf numFmtId="0" fontId="1" fillId="2" borderId="6" xfId="0" applyFont="1" applyFill="1" applyBorder="1"/>
    <xf numFmtId="0" fontId="1" fillId="3" borderId="9" xfId="0" applyFont="1" applyFill="1" applyBorder="1"/>
    <xf numFmtId="0" fontId="1" fillId="2" borderId="1" xfId="0" applyFont="1" applyFill="1" applyBorder="1"/>
    <xf numFmtId="4" fontId="0" fillId="2" borderId="1" xfId="0" applyNumberFormat="1" applyFill="1" applyBorder="1"/>
    <xf numFmtId="4" fontId="0" fillId="0" borderId="0" xfId="0" applyNumberFormat="1"/>
    <xf numFmtId="9" fontId="0" fillId="0" borderId="0" xfId="0" applyNumberFormat="1"/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0" fillId="2" borderId="11" xfId="0" applyNumberFormat="1" applyFill="1" applyBorder="1"/>
    <xf numFmtId="0" fontId="0" fillId="0" borderId="0" xfId="0" applyBorder="1"/>
    <xf numFmtId="4" fontId="0" fillId="2" borderId="0" xfId="0" applyNumberFormat="1" applyFill="1" applyBorder="1"/>
    <xf numFmtId="0" fontId="5" fillId="0" borderId="0" xfId="0" applyFont="1"/>
    <xf numFmtId="0" fontId="0" fillId="0" borderId="0" xfId="0" applyAlignment="1">
      <alignment horizontal="left"/>
    </xf>
    <xf numFmtId="4" fontId="0" fillId="2" borderId="12" xfId="0" applyNumberFormat="1" applyFill="1" applyBorder="1"/>
    <xf numFmtId="0" fontId="3" fillId="4" borderId="12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4" fontId="0" fillId="0" borderId="13" xfId="0" applyNumberFormat="1" applyBorder="1"/>
    <xf numFmtId="10" fontId="0" fillId="0" borderId="0" xfId="0" applyNumberFormat="1"/>
    <xf numFmtId="0" fontId="0" fillId="2" borderId="13" xfId="0" applyFill="1" applyBorder="1"/>
    <xf numFmtId="0" fontId="0" fillId="2" borderId="0" xfId="0" applyFill="1"/>
    <xf numFmtId="0" fontId="3" fillId="4" borderId="0" xfId="0" applyFont="1" applyFill="1" applyAlignment="1">
      <alignment vertical="center" wrapText="1"/>
    </xf>
    <xf numFmtId="10" fontId="0" fillId="2" borderId="13" xfId="0" applyNumberFormat="1" applyFill="1" applyBorder="1"/>
    <xf numFmtId="0" fontId="0" fillId="2" borderId="15" xfId="0" applyFill="1" applyBorder="1"/>
    <xf numFmtId="0" fontId="0" fillId="2" borderId="16" xfId="0" applyFill="1" applyBorder="1"/>
    <xf numFmtId="14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rgb="FFFE8C8C"/>
        </patternFill>
      </fill>
    </dxf>
    <dxf>
      <fill>
        <patternFill>
          <bgColor rgb="FFFE8C8C"/>
        </patternFill>
      </fill>
    </dxf>
    <dxf>
      <fill>
        <patternFill patternType="lightUp"/>
      </fill>
    </dxf>
    <dxf>
      <fill>
        <patternFill>
          <bgColor rgb="FFFE8C8C"/>
        </patternFill>
      </fill>
    </dxf>
    <dxf>
      <fill>
        <patternFill>
          <bgColor rgb="FFFE8C8C"/>
        </patternFill>
      </fill>
    </dxf>
  </dxfs>
  <tableStyles count="0" defaultTableStyle="TableStyleMedium2" defaultPivotStyle="PivotStyleLight16"/>
  <colors>
    <mruColors>
      <color rgb="FFFE8C8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S50"/>
  <sheetViews>
    <sheetView tabSelected="1" topLeftCell="A29" zoomScale="82" workbookViewId="0">
      <selection activeCell="L51" sqref="L51"/>
    </sheetView>
  </sheetViews>
  <sheetFormatPr baseColWidth="10" defaultRowHeight="15" x14ac:dyDescent="0.25"/>
  <cols>
    <col min="4" max="4" width="15.85546875" customWidth="1"/>
    <col min="5" max="5" width="18.140625" customWidth="1"/>
    <col min="6" max="6" width="15.85546875" customWidth="1"/>
    <col min="7" max="7" width="16.28515625" customWidth="1"/>
    <col min="8" max="8" width="12" customWidth="1"/>
    <col min="10" max="10" width="12.28515625" customWidth="1"/>
    <col min="11" max="11" width="10.42578125" customWidth="1"/>
    <col min="12" max="12" width="12.5703125" customWidth="1"/>
  </cols>
  <sheetData>
    <row r="1" spans="4:14" x14ac:dyDescent="0.25">
      <c r="D1" s="3">
        <v>42036</v>
      </c>
      <c r="H1" s="1"/>
    </row>
    <row r="2" spans="4:14" ht="7.5" customHeight="1" x14ac:dyDescent="0.25">
      <c r="H2" s="1"/>
    </row>
    <row r="3" spans="4:14" x14ac:dyDescent="0.25">
      <c r="D3" s="6" t="s">
        <v>3</v>
      </c>
      <c r="E3" s="7"/>
      <c r="F3" s="7"/>
      <c r="G3" s="8">
        <v>3000</v>
      </c>
      <c r="H3" s="1"/>
    </row>
    <row r="4" spans="4:14" x14ac:dyDescent="0.25">
      <c r="D4" s="9" t="s">
        <v>13</v>
      </c>
      <c r="E4" s="10"/>
      <c r="F4" s="10"/>
      <c r="G4" s="11">
        <v>240</v>
      </c>
      <c r="H4" s="1"/>
    </row>
    <row r="5" spans="4:14" x14ac:dyDescent="0.25">
      <c r="D5" s="12" t="s">
        <v>14</v>
      </c>
      <c r="E5" s="13"/>
      <c r="F5" s="13"/>
      <c r="G5" s="14">
        <v>50</v>
      </c>
      <c r="H5" s="1"/>
    </row>
    <row r="6" spans="4:14" x14ac:dyDescent="0.25">
      <c r="D6" s="9" t="s">
        <v>1</v>
      </c>
      <c r="E6" s="10"/>
      <c r="F6" s="10"/>
      <c r="G6" s="11">
        <v>8</v>
      </c>
      <c r="H6" s="1"/>
    </row>
    <row r="7" spans="4:14" x14ac:dyDescent="0.25">
      <c r="D7" s="12" t="s">
        <v>2</v>
      </c>
      <c r="E7" s="13"/>
      <c r="F7" s="13"/>
      <c r="G7" s="14">
        <v>3</v>
      </c>
      <c r="H7" s="1"/>
    </row>
    <row r="8" spans="4:14" x14ac:dyDescent="0.25">
      <c r="D8" s="9" t="s">
        <v>6</v>
      </c>
      <c r="E8" s="10"/>
      <c r="F8" s="10"/>
      <c r="G8" s="11">
        <v>20</v>
      </c>
      <c r="H8" s="1"/>
    </row>
    <row r="9" spans="4:14" x14ac:dyDescent="0.25">
      <c r="D9" s="15" t="s">
        <v>7</v>
      </c>
      <c r="E9" s="16"/>
      <c r="F9" s="16"/>
      <c r="G9" s="17">
        <v>4</v>
      </c>
    </row>
    <row r="11" spans="4:14" x14ac:dyDescent="0.25">
      <c r="D11" s="19" t="s">
        <v>5</v>
      </c>
    </row>
    <row r="12" spans="4:14" ht="26.25" customHeight="1" x14ac:dyDescent="0.25">
      <c r="D12" s="1"/>
      <c r="E12" s="2" t="s">
        <v>4</v>
      </c>
      <c r="F12" s="2" t="s">
        <v>10</v>
      </c>
      <c r="G12" s="2" t="s">
        <v>9</v>
      </c>
      <c r="I12" s="2"/>
      <c r="J12" s="2"/>
      <c r="K12" s="2" t="s">
        <v>8</v>
      </c>
      <c r="L12" s="2" t="s">
        <v>12</v>
      </c>
      <c r="M12" s="2" t="s">
        <v>11</v>
      </c>
      <c r="N12" s="2"/>
    </row>
    <row r="13" spans="4:14" ht="15.75" customHeight="1" x14ac:dyDescent="0.25">
      <c r="D13" s="4" t="s">
        <v>0</v>
      </c>
      <c r="E13" s="5">
        <f>G3</f>
        <v>3000</v>
      </c>
      <c r="F13" s="5">
        <f>240*$G$6+50*G7</f>
        <v>2070</v>
      </c>
      <c r="G13" s="5">
        <f>E13+F13</f>
        <v>5070</v>
      </c>
      <c r="I13" s="5"/>
      <c r="J13" s="5"/>
      <c r="K13" s="5">
        <v>5115.6000000000004</v>
      </c>
      <c r="L13" s="5">
        <f>+G13-K13</f>
        <v>-45.600000000000364</v>
      </c>
      <c r="M13" s="5">
        <v>0</v>
      </c>
      <c r="N13" s="5"/>
    </row>
    <row r="15" spans="4:14" x14ac:dyDescent="0.25"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35"/>
    </row>
    <row r="17" spans="4:19" x14ac:dyDescent="0.25">
      <c r="D17" s="3">
        <v>42064</v>
      </c>
    </row>
    <row r="18" spans="4:19" ht="6.75" customHeight="1" x14ac:dyDescent="0.25"/>
    <row r="19" spans="4:19" x14ac:dyDescent="0.25">
      <c r="D19" s="6" t="s">
        <v>3</v>
      </c>
      <c r="E19" s="7"/>
      <c r="F19" s="7"/>
      <c r="G19" s="8">
        <v>3000</v>
      </c>
      <c r="S19">
        <f>11*8</f>
        <v>88</v>
      </c>
    </row>
    <row r="20" spans="4:19" x14ac:dyDescent="0.25">
      <c r="D20" s="9" t="s">
        <v>13</v>
      </c>
      <c r="E20" s="10"/>
      <c r="F20" s="10"/>
      <c r="G20" s="20">
        <f>((-$L$13*G22)/($G$22+$G$23))/G22+240+R21+R23</f>
        <v>251.06212121212127</v>
      </c>
      <c r="S20">
        <f>1.38*3</f>
        <v>4.1399999999999997</v>
      </c>
    </row>
    <row r="21" spans="4:19" x14ac:dyDescent="0.25">
      <c r="D21" s="12" t="s">
        <v>14</v>
      </c>
      <c r="E21" s="13"/>
      <c r="F21" s="13"/>
      <c r="G21" s="21">
        <f>50+R22</f>
        <v>51.383333333333333</v>
      </c>
      <c r="R21">
        <v>4.1500000000000004</v>
      </c>
    </row>
    <row r="22" spans="4:19" x14ac:dyDescent="0.25">
      <c r="D22" s="9" t="s">
        <v>1</v>
      </c>
      <c r="E22" s="10"/>
      <c r="F22" s="10"/>
      <c r="G22" s="11">
        <v>8</v>
      </c>
      <c r="R22">
        <f>4.15/3</f>
        <v>1.3833333333333335</v>
      </c>
    </row>
    <row r="23" spans="4:19" x14ac:dyDescent="0.25">
      <c r="D23" s="12" t="s">
        <v>2</v>
      </c>
      <c r="E23" s="13"/>
      <c r="F23" s="13"/>
      <c r="G23" s="14">
        <v>3</v>
      </c>
      <c r="R23">
        <f>R21-R22</f>
        <v>2.7666666666666666</v>
      </c>
    </row>
    <row r="24" spans="4:19" x14ac:dyDescent="0.25">
      <c r="D24" s="9" t="s">
        <v>6</v>
      </c>
      <c r="E24" s="10"/>
      <c r="F24" s="10"/>
      <c r="G24" s="11">
        <v>20</v>
      </c>
    </row>
    <row r="25" spans="4:19" x14ac:dyDescent="0.25">
      <c r="D25" s="15" t="s">
        <v>7</v>
      </c>
      <c r="E25" s="16"/>
      <c r="F25" s="16"/>
      <c r="G25" s="17">
        <v>4</v>
      </c>
    </row>
    <row r="27" spans="4:19" x14ac:dyDescent="0.25">
      <c r="D27" s="19" t="s">
        <v>5</v>
      </c>
    </row>
    <row r="28" spans="4:19" x14ac:dyDescent="0.25">
      <c r="D28" s="1"/>
      <c r="E28" s="2" t="s">
        <v>4</v>
      </c>
      <c r="F28" s="2" t="s">
        <v>10</v>
      </c>
      <c r="G28" s="2" t="s">
        <v>9</v>
      </c>
      <c r="I28" s="2"/>
      <c r="J28" s="2"/>
      <c r="K28" s="2" t="s">
        <v>8</v>
      </c>
      <c r="L28" s="2" t="s">
        <v>12</v>
      </c>
      <c r="M28" s="2" t="s">
        <v>11</v>
      </c>
      <c r="N28" s="2"/>
    </row>
    <row r="29" spans="4:19" x14ac:dyDescent="0.25">
      <c r="D29" s="4" t="s">
        <v>0</v>
      </c>
      <c r="E29" s="5">
        <f>G19</f>
        <v>3000</v>
      </c>
      <c r="F29" s="5">
        <f>G20*G22+G23*G21</f>
        <v>2162.6469696969702</v>
      </c>
      <c r="G29" s="5">
        <f>E29+F29</f>
        <v>5162.6469696969707</v>
      </c>
      <c r="I29" s="5"/>
      <c r="J29" s="5"/>
      <c r="K29" s="5"/>
      <c r="L29" s="5"/>
      <c r="M29" s="5">
        <v>0</v>
      </c>
      <c r="N29" s="5"/>
    </row>
    <row r="31" spans="4:19" x14ac:dyDescent="0.25">
      <c r="D31" s="3">
        <v>42095</v>
      </c>
    </row>
    <row r="32" spans="4:19" x14ac:dyDescent="0.25">
      <c r="I32" s="51">
        <v>42094</v>
      </c>
      <c r="J32" s="51"/>
      <c r="K32" s="51"/>
      <c r="L32" s="51"/>
      <c r="M32" s="51"/>
      <c r="N32" s="22"/>
    </row>
    <row r="33" spans="4:17" ht="15.75" customHeight="1" x14ac:dyDescent="0.25">
      <c r="D33" s="6" t="s">
        <v>3</v>
      </c>
      <c r="E33" s="7"/>
      <c r="F33" s="7"/>
      <c r="G33" s="23">
        <v>3000</v>
      </c>
      <c r="I33" s="53" t="s">
        <v>18</v>
      </c>
      <c r="J33" s="53"/>
      <c r="K33" s="53"/>
      <c r="L33" s="53"/>
      <c r="M33" s="53"/>
      <c r="N33" s="2"/>
      <c r="O33" s="53" t="s">
        <v>8</v>
      </c>
      <c r="P33" s="53" t="s">
        <v>12</v>
      </c>
      <c r="Q33" s="53" t="s">
        <v>11</v>
      </c>
    </row>
    <row r="34" spans="4:17" ht="27" customHeight="1" x14ac:dyDescent="0.25">
      <c r="D34" s="9" t="s">
        <v>13</v>
      </c>
      <c r="E34" s="10"/>
      <c r="F34" s="10"/>
      <c r="G34" s="20">
        <v>240</v>
      </c>
      <c r="I34" s="32" t="s">
        <v>17</v>
      </c>
      <c r="J34" s="32" t="s">
        <v>25</v>
      </c>
      <c r="K34" s="40" t="s">
        <v>19</v>
      </c>
      <c r="L34" s="2" t="s">
        <v>20</v>
      </c>
      <c r="M34" s="33" t="s">
        <v>21</v>
      </c>
      <c r="N34" s="32" t="s">
        <v>22</v>
      </c>
      <c r="O34" s="53"/>
      <c r="P34" s="53"/>
      <c r="Q34" s="53"/>
    </row>
    <row r="35" spans="4:17" x14ac:dyDescent="0.25">
      <c r="D35" s="12" t="s">
        <v>14</v>
      </c>
      <c r="E35" s="13"/>
      <c r="F35" s="13"/>
      <c r="G35" s="21">
        <f>50+R36</f>
        <v>50</v>
      </c>
      <c r="I35" s="36">
        <f>G33</f>
        <v>3000</v>
      </c>
      <c r="J35" s="36">
        <v>240</v>
      </c>
      <c r="K35" s="39">
        <f>G35*G37</f>
        <v>100</v>
      </c>
      <c r="L35" s="5">
        <f>G34*G36</f>
        <v>1920</v>
      </c>
      <c r="M35" s="34">
        <f>SUM(K35:L35)</f>
        <v>2020</v>
      </c>
      <c r="N35" s="36">
        <f>J35+I35+M35+K40</f>
        <v>5510</v>
      </c>
      <c r="O35" s="5">
        <v>5833.6</v>
      </c>
      <c r="P35" s="5">
        <f>N35-O35</f>
        <v>-323.60000000000036</v>
      </c>
      <c r="Q35" s="5">
        <v>-323</v>
      </c>
    </row>
    <row r="36" spans="4:17" x14ac:dyDescent="0.25">
      <c r="D36" s="9" t="s">
        <v>1</v>
      </c>
      <c r="E36" s="10"/>
      <c r="F36" s="10"/>
      <c r="G36" s="24">
        <v>8</v>
      </c>
    </row>
    <row r="37" spans="4:17" ht="15.75" x14ac:dyDescent="0.25">
      <c r="D37" s="12" t="s">
        <v>2</v>
      </c>
      <c r="E37" s="13"/>
      <c r="F37" s="13"/>
      <c r="G37" s="25">
        <v>2</v>
      </c>
      <c r="I37" s="37" t="s">
        <v>23</v>
      </c>
      <c r="J37" s="37"/>
      <c r="P37" s="29">
        <f>O35+P35</f>
        <v>5510</v>
      </c>
    </row>
    <row r="38" spans="4:17" x14ac:dyDescent="0.25">
      <c r="D38" s="9" t="s">
        <v>6</v>
      </c>
      <c r="E38" s="10"/>
      <c r="F38" s="10"/>
      <c r="G38" s="24">
        <v>20</v>
      </c>
      <c r="I38" t="s">
        <v>24</v>
      </c>
      <c r="K38" s="38">
        <v>250</v>
      </c>
    </row>
    <row r="39" spans="4:17" x14ac:dyDescent="0.25">
      <c r="D39" s="15" t="s">
        <v>7</v>
      </c>
      <c r="E39" s="16"/>
      <c r="F39" s="16"/>
      <c r="G39" s="26">
        <v>4</v>
      </c>
      <c r="I39" s="41"/>
      <c r="J39" s="41"/>
      <c r="K39" s="42"/>
    </row>
    <row r="40" spans="4:17" x14ac:dyDescent="0.25">
      <c r="K40" s="38">
        <f>SUM(K38:K39)</f>
        <v>250</v>
      </c>
    </row>
    <row r="41" spans="4:17" ht="24.75" customHeight="1" x14ac:dyDescent="0.25">
      <c r="D41" s="19" t="s">
        <v>15</v>
      </c>
      <c r="F41" s="52"/>
      <c r="G41" s="52"/>
      <c r="M41" s="29"/>
      <c r="N41" s="29"/>
    </row>
    <row r="42" spans="4:17" ht="15.75" customHeight="1" x14ac:dyDescent="0.25">
      <c r="D42" s="1"/>
      <c r="E42" s="54" t="s">
        <v>27</v>
      </c>
      <c r="F42" s="54"/>
      <c r="G42" s="54"/>
      <c r="H42" s="53" t="s">
        <v>9</v>
      </c>
      <c r="L42" s="47" t="s">
        <v>19</v>
      </c>
      <c r="M42" s="47"/>
      <c r="N42" s="29"/>
    </row>
    <row r="43" spans="4:17" ht="27.75" customHeight="1" x14ac:dyDescent="0.25">
      <c r="D43" s="1"/>
      <c r="E43" s="31" t="s">
        <v>28</v>
      </c>
      <c r="F43" s="31" t="s">
        <v>29</v>
      </c>
      <c r="G43" s="31" t="s">
        <v>30</v>
      </c>
      <c r="H43" s="53"/>
      <c r="L43" s="31" t="s">
        <v>19</v>
      </c>
      <c r="M43" s="31" t="s">
        <v>26</v>
      </c>
      <c r="N43" s="29"/>
    </row>
    <row r="44" spans="4:17" x14ac:dyDescent="0.25">
      <c r="D44" s="27" t="s">
        <v>0</v>
      </c>
      <c r="E44" s="28">
        <f>G33</f>
        <v>3000</v>
      </c>
      <c r="F44" s="28">
        <f>G37*G35</f>
        <v>100</v>
      </c>
      <c r="G44" s="28">
        <f>G36*G34</f>
        <v>1920</v>
      </c>
      <c r="H44" s="28">
        <f>E44+F44+G44</f>
        <v>5020</v>
      </c>
      <c r="J44" s="45" t="s">
        <v>31</v>
      </c>
      <c r="K44" s="45"/>
      <c r="L44" s="48">
        <f>(G35/G34)</f>
        <v>0.20833333333333334</v>
      </c>
      <c r="M44" s="48">
        <f>100%-L44</f>
        <v>0.79166666666666663</v>
      </c>
      <c r="P44" s="29">
        <f>P35*67%</f>
        <v>-216.81200000000027</v>
      </c>
    </row>
    <row r="45" spans="4:17" x14ac:dyDescent="0.25">
      <c r="D45" s="4" t="s">
        <v>16</v>
      </c>
      <c r="E45" s="5">
        <v>3000</v>
      </c>
      <c r="F45" s="5"/>
      <c r="G45" s="5"/>
      <c r="H45" s="5"/>
      <c r="J45" s="49" t="s">
        <v>33</v>
      </c>
      <c r="K45" s="49"/>
      <c r="L45" s="49">
        <f>(P35*L44)</f>
        <v>-67.416666666666742</v>
      </c>
      <c r="M45" s="49">
        <f>M44*$P$35</f>
        <v>-256.18333333333362</v>
      </c>
      <c r="P45" s="43">
        <f>P35*33%</f>
        <v>-106.78800000000012</v>
      </c>
    </row>
    <row r="46" spans="4:17" ht="15.75" thickBot="1" x14ac:dyDescent="0.3">
      <c r="F46">
        <f>P35/8</f>
        <v>-40.450000000000045</v>
      </c>
      <c r="G46">
        <f>P35/3*4/20</f>
        <v>-21.573333333333359</v>
      </c>
      <c r="J46" s="50" t="s">
        <v>32</v>
      </c>
      <c r="K46" s="50"/>
      <c r="L46" s="50">
        <f>G39</f>
        <v>4</v>
      </c>
      <c r="M46" s="50">
        <f>G38</f>
        <v>20</v>
      </c>
      <c r="P46" s="29">
        <f>SUM(P44:P45)</f>
        <v>-323.60000000000036</v>
      </c>
    </row>
    <row r="47" spans="4:17" x14ac:dyDescent="0.25">
      <c r="J47" s="46" t="s">
        <v>34</v>
      </c>
      <c r="L47" s="29">
        <f>L45*(L46/M46)</f>
        <v>-13.483333333333348</v>
      </c>
      <c r="M47" s="29">
        <f>M45*(M46/M46)+L45*(M46-L46)/M46</f>
        <v>-310.11666666666702</v>
      </c>
    </row>
    <row r="48" spans="4:17" x14ac:dyDescent="0.25">
      <c r="L48">
        <f>G37</f>
        <v>2</v>
      </c>
      <c r="M48">
        <f>G36</f>
        <v>8</v>
      </c>
      <c r="P48" s="30">
        <f>50/240</f>
        <v>0.20833333333333334</v>
      </c>
      <c r="Q48">
        <f>P35*P48</f>
        <v>-67.416666666666742</v>
      </c>
    </row>
    <row r="49" spans="10:17" x14ac:dyDescent="0.25">
      <c r="J49" s="49"/>
      <c r="K49" s="49"/>
      <c r="L49" s="49">
        <f>L47/L48</f>
        <v>-6.7416666666666742</v>
      </c>
      <c r="M49" s="49">
        <f>M47/M48</f>
        <v>-38.764583333333377</v>
      </c>
      <c r="P49" s="44">
        <f>100%-P48</f>
        <v>0.79166666666666663</v>
      </c>
      <c r="Q49">
        <f>P35*P49</f>
        <v>-256.18333333333362</v>
      </c>
    </row>
    <row r="50" spans="10:17" x14ac:dyDescent="0.25">
      <c r="L50">
        <f>50-L49</f>
        <v>56.741666666666674</v>
      </c>
      <c r="M50">
        <f>240-M49</f>
        <v>278.76458333333335</v>
      </c>
    </row>
  </sheetData>
  <mergeCells count="8">
    <mergeCell ref="O33:O34"/>
    <mergeCell ref="P33:P34"/>
    <mergeCell ref="Q33:Q34"/>
    <mergeCell ref="I32:M32"/>
    <mergeCell ref="F41:G41"/>
    <mergeCell ref="I33:M33"/>
    <mergeCell ref="E42:G42"/>
    <mergeCell ref="H42:H43"/>
  </mergeCells>
  <conditionalFormatting sqref="L13:L26 L36:L37 L39:L41 K38">
    <cfRule type="cellIs" dxfId="8" priority="9" operator="lessThan">
      <formula>0</formula>
    </cfRule>
  </conditionalFormatting>
  <conditionalFormatting sqref="L29">
    <cfRule type="cellIs" dxfId="7" priority="8" operator="lessThan">
      <formula>0</formula>
    </cfRule>
  </conditionalFormatting>
  <conditionalFormatting sqref="K29:N29">
    <cfRule type="containsBlanks" dxfId="6" priority="7">
      <formula>LEN(TRIM(K29))=0</formula>
    </cfRule>
  </conditionalFormatting>
  <conditionalFormatting sqref="L31">
    <cfRule type="cellIs" dxfId="5" priority="6" operator="lessThan">
      <formula>0</formula>
    </cfRule>
  </conditionalFormatting>
  <conditionalFormatting sqref="P35">
    <cfRule type="cellIs" dxfId="4" priority="5" operator="lessThan">
      <formula>0</formula>
    </cfRule>
  </conditionalFormatting>
  <conditionalFormatting sqref="O35:Q35">
    <cfRule type="containsBlanks" dxfId="3" priority="4">
      <formula>LEN(TRIM(O35))=0</formula>
    </cfRule>
  </conditionalFormatting>
  <conditionalFormatting sqref="I29:J29">
    <cfRule type="containsBlanks" dxfId="2" priority="3">
      <formula>LEN(TRIM(I29))=0</formula>
    </cfRule>
  </conditionalFormatting>
  <conditionalFormatting sqref="I35:J35">
    <cfRule type="containsBlanks" dxfId="1" priority="2">
      <formula>LEN(TRIM(I35))=0</formula>
    </cfRule>
  </conditionalFormatting>
  <conditionalFormatting sqref="K35:N35">
    <cfRule type="containsBlanks" dxfId="0" priority="1">
      <formula>LEN(TRIM(K35))=0</formula>
    </cfRule>
  </conditionalFormatting>
  <pageMargins left="0.2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Collaborateur TMK</dc:creator>
  <cp:lastModifiedBy>Collaborateur TMK</cp:lastModifiedBy>
  <cp:lastPrinted>2015-03-02T12:14:59Z</cp:lastPrinted>
  <dcterms:created xsi:type="dcterms:W3CDTF">2015-03-02T10:34:45Z</dcterms:created>
  <dcterms:modified xsi:type="dcterms:W3CDTF">2015-04-06T08:22:33Z</dcterms:modified>
</cp:coreProperties>
</file>