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hidePivotFieldList="1" defaultThemeVersion="124226"/>
  <bookViews>
    <workbookView xWindow="14280" yWindow="0" windowWidth="14505" windowHeight="12765" activeTab="3"/>
  </bookViews>
  <sheets>
    <sheet name="Statistiques" sheetId="8" r:id="rId1"/>
    <sheet name="reroll arme" sheetId="13" r:id="rId2"/>
    <sheet name="cdr et rcr" sheetId="12" r:id="rId3"/>
    <sheet name="eDPS sorts" sheetId="11" r:id="rId4"/>
    <sheet name="infos sorts" sheetId="10" r:id="rId5"/>
    <sheet name="Data" sheetId="14" state="hidden" r:id="rId6"/>
  </sheets>
  <definedNames>
    <definedName name="additiff">'eDPS sorts'!$F$2</definedName>
    <definedName name="APS">'eDPS sorts'!$C$11</definedName>
    <definedName name="armes">Data!$A$2:$A$12</definedName>
    <definedName name="bBuffdrakon">'eDPS sorts'!$W$7</definedName>
    <definedName name="bBuffphalange">'eDPS sorts'!$W$10</definedName>
    <definedName name="bBuffreniement">'eDPS sorts'!$W$8</definedName>
    <definedName name="bBuffroland">'eDPS sorts'!$W$3</definedName>
    <definedName name="bonusblame">'eDPS sorts'!$C$77</definedName>
    <definedName name="bonusbouclierdivin">'eDPS sorts'!$C$43</definedName>
    <definedName name="bonuscoupbouclier">'eDPS sorts'!$C$19</definedName>
    <definedName name="bonuscouperet">'eDPS sorts'!$C$91</definedName>
    <definedName name="bonusfureurdescieux">'eDPS sorts'!$C$103</definedName>
    <definedName name="bonusfustigation">'eDPS sorts'!$C$27</definedName>
    <definedName name="bonusgrele">'eDPS sorts'!$C$111</definedName>
    <definedName name="bonusphalange">'eDPS sorts'!$C$85</definedName>
    <definedName name="bonuspoingdescieux">'eDPS sorts'!$C$51</definedName>
    <definedName name="boun">'eDPS sorts'!$C$91</definedName>
    <definedName name="Buffdrakon">'eDPS sorts'!$V$7</definedName>
    <definedName name="buffmarteau">'eDPS sorts'!$C$35</definedName>
    <definedName name="Buffreniement">'eDPS sorts'!$W$9</definedName>
    <definedName name="Buffroland">'eDPS sorts'!$V$3</definedName>
    <definedName name="critique">'eDPS sorts'!$F$4</definedName>
    <definedName name="feu">'eDPS sorts'!$F$11</definedName>
    <definedName name="foudre">'eDPS sorts'!$F$12</definedName>
    <definedName name="multiplicatif">'eDPS sorts'!$F$3</definedName>
    <definedName name="NamedRange1">Data!$A$2:$A$12</definedName>
    <definedName name="physique">'eDPS sorts'!$F$10</definedName>
    <definedName name="sacré">'eDPS sorts'!$F$13</definedName>
    <definedName name="zone">'eDPS sorts'!$I$3</definedName>
  </definedNames>
  <calcPr calcId="125725"/>
</workbook>
</file>

<file path=xl/calcChain.xml><?xml version="1.0" encoding="utf-8"?>
<calcChain xmlns="http://schemas.openxmlformats.org/spreadsheetml/2006/main">
  <c r="F3" i="11"/>
  <c r="L40" i="8"/>
  <c r="B37"/>
  <c r="C37"/>
  <c r="C36"/>
  <c r="C35"/>
  <c r="C34"/>
  <c r="C33"/>
  <c r="C32"/>
  <c r="C31"/>
  <c r="C28"/>
  <c r="C27"/>
  <c r="C26"/>
  <c r="F11" i="11"/>
  <c r="F10"/>
  <c r="F12"/>
  <c r="F13"/>
  <c r="N19" i="12"/>
  <c r="M16"/>
  <c r="A34" i="13"/>
  <c r="A35"/>
  <c r="B34"/>
  <c r="M12" i="14"/>
  <c r="L12"/>
  <c r="K12"/>
  <c r="G12"/>
  <c r="M11"/>
  <c r="L11"/>
  <c r="K11"/>
  <c r="G11"/>
  <c r="M10"/>
  <c r="L10"/>
  <c r="K10"/>
  <c r="G10"/>
  <c r="M9"/>
  <c r="L9"/>
  <c r="K9"/>
  <c r="G9"/>
  <c r="M8"/>
  <c r="L8"/>
  <c r="K8"/>
  <c r="G8"/>
  <c r="M7"/>
  <c r="L7"/>
  <c r="K7"/>
  <c r="G7"/>
  <c r="M6"/>
  <c r="L6"/>
  <c r="K6"/>
  <c r="G6"/>
  <c r="M5"/>
  <c r="L5"/>
  <c r="K5"/>
  <c r="G5"/>
  <c r="M4"/>
  <c r="L4"/>
  <c r="K4"/>
  <c r="G4"/>
  <c r="M3"/>
  <c r="L3"/>
  <c r="K3"/>
  <c r="G3"/>
  <c r="M2"/>
  <c r="L2"/>
  <c r="K2"/>
  <c r="G2"/>
  <c r="C20" i="13" l="1"/>
  <c r="C24"/>
  <c r="C26"/>
  <c r="C25"/>
  <c r="C11" i="8" l="1"/>
  <c r="C14"/>
  <c r="C18"/>
  <c r="C16"/>
  <c r="C17"/>
  <c r="C15"/>
  <c r="V44"/>
  <c r="C25"/>
  <c r="C29"/>
  <c r="C24"/>
  <c r="C23"/>
  <c r="C22"/>
  <c r="C13"/>
  <c r="C8"/>
  <c r="C7"/>
  <c r="L41" l="1"/>
  <c r="C6" s="1"/>
  <c r="C30" s="1"/>
  <c r="L46"/>
  <c r="N46"/>
  <c r="P46"/>
  <c r="P43"/>
  <c r="C12" s="1"/>
  <c r="P41"/>
  <c r="C10" s="1"/>
  <c r="P45"/>
  <c r="N41"/>
  <c r="C21" s="1"/>
  <c r="N43"/>
  <c r="C19" s="1"/>
  <c r="N45"/>
  <c r="C20" s="1"/>
  <c r="L43"/>
  <c r="C9" s="1"/>
  <c r="B11" l="1"/>
  <c r="G12" s="1"/>
  <c r="G11" l="1"/>
  <c r="G8"/>
  <c r="G37"/>
  <c r="G17"/>
  <c r="G7"/>
  <c r="G18"/>
  <c r="G6"/>
  <c r="G14"/>
  <c r="G16"/>
  <c r="G15"/>
  <c r="B39"/>
  <c r="B38"/>
  <c r="H9" l="1"/>
  <c r="H10"/>
  <c r="H12"/>
  <c r="H8"/>
  <c r="H11"/>
  <c r="H14"/>
  <c r="H16"/>
  <c r="H15"/>
  <c r="B40"/>
  <c r="H37"/>
  <c r="H17"/>
  <c r="H7"/>
  <c r="H18"/>
  <c r="H6"/>
  <c r="F7" i="11"/>
  <c r="F8" l="1"/>
  <c r="D39" i="12"/>
  <c r="D37"/>
  <c r="D42"/>
  <c r="D41"/>
  <c r="D40"/>
  <c r="D35"/>
  <c r="D34"/>
  <c r="N101" i="11"/>
  <c r="E121" l="1"/>
  <c r="C6" l="1"/>
  <c r="B19" i="12" l="1"/>
  <c r="O78" i="11" s="1"/>
  <c r="F44" i="12" l="1"/>
  <c r="G44" s="1"/>
  <c r="F35"/>
  <c r="G35" s="1"/>
  <c r="F47"/>
  <c r="F23"/>
  <c r="G23" s="1"/>
  <c r="F24"/>
  <c r="G24" s="1"/>
  <c r="F46"/>
  <c r="G46" s="1"/>
  <c r="F25"/>
  <c r="G25" s="1"/>
  <c r="F45"/>
  <c r="G45" s="1"/>
  <c r="F34"/>
  <c r="G34" s="1"/>
  <c r="F31"/>
  <c r="G31" s="1"/>
  <c r="F40"/>
  <c r="G40" s="1"/>
  <c r="F30"/>
  <c r="G30" s="1"/>
  <c r="F39"/>
  <c r="G39" s="1"/>
  <c r="F29"/>
  <c r="G29" s="1"/>
  <c r="F37"/>
  <c r="G37" s="1"/>
  <c r="F28"/>
  <c r="G28" s="1"/>
  <c r="F36"/>
  <c r="F27"/>
  <c r="G27" s="1"/>
  <c r="F26"/>
  <c r="G26" s="1"/>
  <c r="F43"/>
  <c r="F33"/>
  <c r="G33" s="1"/>
  <c r="F42"/>
  <c r="G42" s="1"/>
  <c r="F38"/>
  <c r="F32"/>
  <c r="G32" s="1"/>
  <c r="F41"/>
  <c r="G41" s="1"/>
  <c r="O95" i="11"/>
  <c r="O108"/>
  <c r="O69"/>
  <c r="O94"/>
  <c r="O107"/>
  <c r="O93"/>
  <c r="O106"/>
  <c r="O117"/>
  <c r="O61"/>
  <c r="O105"/>
  <c r="O116"/>
  <c r="O79"/>
  <c r="O115"/>
  <c r="O101"/>
  <c r="O65"/>
  <c r="O104"/>
  <c r="O75"/>
  <c r="O113"/>
  <c r="O97"/>
  <c r="O92"/>
  <c r="O83"/>
  <c r="O82"/>
  <c r="O81"/>
  <c r="O80"/>
  <c r="O96"/>
  <c r="O112"/>
  <c r="O73"/>
  <c r="O114"/>
  <c r="O74"/>
  <c r="K101"/>
  <c r="F2"/>
  <c r="C3"/>
  <c r="I3"/>
  <c r="C4"/>
  <c r="W5"/>
  <c r="F6"/>
  <c r="C7"/>
  <c r="C8"/>
  <c r="C9"/>
  <c r="W9"/>
  <c r="N10"/>
  <c r="K55"/>
  <c r="L74"/>
  <c r="L104"/>
  <c r="M105"/>
  <c r="L106"/>
  <c r="L107"/>
  <c r="L108"/>
  <c r="B37" l="1"/>
  <c r="B78"/>
  <c r="C48"/>
  <c r="B57"/>
  <c r="B39"/>
  <c r="B82"/>
  <c r="E107"/>
  <c r="B79"/>
  <c r="B89"/>
  <c r="B75"/>
  <c r="B36"/>
  <c r="D101"/>
  <c r="B73"/>
  <c r="B40"/>
  <c r="E108"/>
  <c r="B41"/>
  <c r="B38"/>
  <c r="E65"/>
  <c r="C95"/>
  <c r="E106"/>
  <c r="C97"/>
  <c r="E104"/>
  <c r="C40"/>
  <c r="C94"/>
  <c r="C57"/>
  <c r="C55"/>
  <c r="B117"/>
  <c r="B69"/>
  <c r="B81"/>
  <c r="E105"/>
  <c r="B127"/>
  <c r="B96"/>
  <c r="B56"/>
  <c r="B109"/>
  <c r="B86"/>
  <c r="B88"/>
  <c r="D55"/>
  <c r="B53"/>
  <c r="B54"/>
  <c r="E74"/>
  <c r="C46"/>
  <c r="B114"/>
  <c r="D54"/>
  <c r="B92"/>
  <c r="C24"/>
  <c r="C54"/>
  <c r="C53"/>
  <c r="C38"/>
  <c r="B95"/>
  <c r="B93"/>
  <c r="E37"/>
  <c r="B126"/>
  <c r="C52"/>
  <c r="B115"/>
  <c r="B113"/>
  <c r="C56"/>
  <c r="B97"/>
  <c r="B116"/>
  <c r="B94"/>
  <c r="C115"/>
  <c r="B112"/>
  <c r="B87"/>
  <c r="B83"/>
  <c r="B52"/>
  <c r="B61"/>
  <c r="B55"/>
  <c r="B80"/>
  <c r="D93"/>
  <c r="B30"/>
  <c r="B31"/>
  <c r="B32"/>
  <c r="D29"/>
  <c r="B33"/>
  <c r="B28"/>
  <c r="B29"/>
  <c r="F21" i="8"/>
  <c r="F20"/>
  <c r="F19"/>
  <c r="F23"/>
  <c r="F24"/>
  <c r="F22"/>
  <c r="F6"/>
  <c r="F39"/>
  <c r="H24" i="12"/>
  <c r="H44"/>
  <c r="H32"/>
  <c r="H26"/>
  <c r="H29"/>
  <c r="H41"/>
  <c r="H34"/>
  <c r="H37"/>
  <c r="H45"/>
  <c r="H46"/>
  <c r="H31"/>
  <c r="H25"/>
  <c r="H28"/>
  <c r="H40"/>
  <c r="H33"/>
  <c r="H23"/>
  <c r="H42"/>
  <c r="H27"/>
  <c r="H30"/>
  <c r="H35"/>
  <c r="H39"/>
  <c r="F5" i="11"/>
  <c r="C11"/>
  <c r="A13" s="1"/>
  <c r="F4"/>
  <c r="C10" s="1"/>
  <c r="I47"/>
  <c r="B47" s="1"/>
  <c r="I20"/>
  <c r="B20" s="1"/>
  <c r="J23"/>
  <c r="C23" s="1"/>
  <c r="I46"/>
  <c r="B46" s="1"/>
  <c r="I23"/>
  <c r="B23" s="1"/>
  <c r="I45"/>
  <c r="B45" s="1"/>
  <c r="I44"/>
  <c r="B44" s="1"/>
  <c r="I25"/>
  <c r="B25" s="1"/>
  <c r="I24"/>
  <c r="B24" s="1"/>
  <c r="I49"/>
  <c r="B49" s="1"/>
  <c r="I22"/>
  <c r="B22" s="1"/>
  <c r="I21"/>
  <c r="B21" s="1"/>
  <c r="I48"/>
  <c r="B48" s="1"/>
  <c r="R2"/>
  <c r="F40" i="8" l="1"/>
  <c r="F41" s="1"/>
  <c r="C2" i="11"/>
  <c r="G126"/>
  <c r="G80"/>
  <c r="G78"/>
  <c r="G83"/>
  <c r="G81"/>
  <c r="G79"/>
  <c r="G82"/>
  <c r="F105"/>
  <c r="F115"/>
  <c r="F108"/>
  <c r="F117"/>
  <c r="F109"/>
  <c r="F112"/>
  <c r="F114"/>
  <c r="F104"/>
  <c r="F116"/>
  <c r="F107"/>
  <c r="F106"/>
  <c r="F113"/>
  <c r="F127"/>
  <c r="G127"/>
  <c r="F126"/>
  <c r="G45"/>
  <c r="G113"/>
  <c r="G108"/>
  <c r="G114"/>
  <c r="G115"/>
  <c r="G116"/>
  <c r="G117"/>
  <c r="G104"/>
  <c r="G105"/>
  <c r="G106"/>
  <c r="G112"/>
  <c r="G107"/>
  <c r="F92"/>
  <c r="F78"/>
  <c r="F75"/>
  <c r="F81"/>
  <c r="F61"/>
  <c r="F95"/>
  <c r="F101"/>
  <c r="F94"/>
  <c r="F80"/>
  <c r="F65"/>
  <c r="F96"/>
  <c r="F97"/>
  <c r="F69"/>
  <c r="F82"/>
  <c r="F73"/>
  <c r="F79"/>
  <c r="F83"/>
  <c r="F74"/>
  <c r="F93"/>
  <c r="G93"/>
  <c r="G96"/>
  <c r="G75"/>
  <c r="G97"/>
  <c r="G74"/>
  <c r="G92"/>
  <c r="G69"/>
  <c r="G94"/>
  <c r="G95"/>
  <c r="G73"/>
  <c r="G101"/>
  <c r="G61"/>
  <c r="G65"/>
  <c r="G21"/>
  <c r="G46"/>
  <c r="G39"/>
  <c r="G48"/>
  <c r="G109"/>
  <c r="G30"/>
  <c r="G52"/>
  <c r="G28"/>
  <c r="G25"/>
  <c r="G56"/>
  <c r="G86"/>
  <c r="G32"/>
  <c r="G41"/>
  <c r="G33"/>
  <c r="G24"/>
  <c r="G47"/>
  <c r="G55"/>
  <c r="G88"/>
  <c r="G31"/>
  <c r="G23"/>
  <c r="G37"/>
  <c r="G44"/>
  <c r="G49"/>
  <c r="G20"/>
  <c r="G87"/>
  <c r="G36"/>
  <c r="G38"/>
  <c r="G22"/>
  <c r="G40"/>
  <c r="G53"/>
  <c r="G57"/>
  <c r="G54"/>
  <c r="G29"/>
  <c r="F20"/>
  <c r="F29"/>
  <c r="F28"/>
  <c r="F38"/>
  <c r="F48"/>
  <c r="F25"/>
  <c r="F37"/>
  <c r="F47"/>
  <c r="F57"/>
  <c r="F24"/>
  <c r="F36"/>
  <c r="F46"/>
  <c r="F56"/>
  <c r="F88"/>
  <c r="F87"/>
  <c r="F39"/>
  <c r="F23"/>
  <c r="F33"/>
  <c r="F45"/>
  <c r="F55"/>
  <c r="F22"/>
  <c r="F32"/>
  <c r="F44"/>
  <c r="F54"/>
  <c r="F86"/>
  <c r="F52"/>
  <c r="F49"/>
  <c r="F21"/>
  <c r="F31"/>
  <c r="F41"/>
  <c r="F53"/>
  <c r="F30"/>
  <c r="F40"/>
  <c r="H127" l="1"/>
  <c r="H126"/>
  <c r="H28"/>
  <c r="H83"/>
  <c r="H40"/>
  <c r="H32"/>
  <c r="H95"/>
  <c r="H29"/>
  <c r="H107"/>
  <c r="H33"/>
  <c r="H30"/>
  <c r="H57"/>
  <c r="H108"/>
  <c r="H45"/>
  <c r="H75"/>
  <c r="H20"/>
  <c r="H87"/>
  <c r="H53"/>
  <c r="H48"/>
  <c r="H54"/>
  <c r="H31"/>
  <c r="H55"/>
  <c r="H69"/>
  <c r="H79"/>
  <c r="H21"/>
  <c r="H36"/>
  <c r="H94"/>
  <c r="H65"/>
  <c r="H101"/>
  <c r="H104"/>
  <c r="H52"/>
  <c r="H23"/>
  <c r="H81"/>
  <c r="H114"/>
  <c r="H116"/>
  <c r="H44"/>
  <c r="H74"/>
  <c r="H92"/>
  <c r="H38"/>
  <c r="H49"/>
  <c r="H86"/>
  <c r="H97"/>
  <c r="H46"/>
  <c r="H61"/>
  <c r="H117"/>
  <c r="H112"/>
  <c r="H113"/>
  <c r="H93"/>
  <c r="H96"/>
  <c r="H56"/>
  <c r="H80"/>
  <c r="H106"/>
  <c r="H41"/>
  <c r="H24"/>
  <c r="H105"/>
  <c r="H22"/>
  <c r="H78"/>
  <c r="H37"/>
  <c r="H39"/>
  <c r="H73"/>
  <c r="H109"/>
  <c r="H88"/>
  <c r="H47"/>
  <c r="H115"/>
  <c r="H82"/>
  <c r="H25"/>
</calcChain>
</file>

<file path=xl/sharedStrings.xml><?xml version="1.0" encoding="utf-8"?>
<sst xmlns="http://schemas.openxmlformats.org/spreadsheetml/2006/main" count="904" uniqueCount="604">
  <si>
    <t>total</t>
  </si>
  <si>
    <t>arme</t>
  </si>
  <si>
    <t>DCC</t>
  </si>
  <si>
    <t>force</t>
  </si>
  <si>
    <t>CCC</t>
  </si>
  <si>
    <t>% élite</t>
  </si>
  <si>
    <t>casque</t>
  </si>
  <si>
    <t>épaules</t>
  </si>
  <si>
    <t>torse</t>
  </si>
  <si>
    <t>gants</t>
  </si>
  <si>
    <t>ceinture</t>
  </si>
  <si>
    <t>brassards</t>
  </si>
  <si>
    <t>pantalon</t>
  </si>
  <si>
    <t>amulette</t>
  </si>
  <si>
    <t>anneau 1</t>
  </si>
  <si>
    <t>anneau 2</t>
  </si>
  <si>
    <t>bouclier</t>
  </si>
  <si>
    <t>dgt min</t>
  </si>
  <si>
    <t>dgt max</t>
  </si>
  <si>
    <t>IAS</t>
  </si>
  <si>
    <t>as arme</t>
  </si>
  <si>
    <t>% block</t>
  </si>
  <si>
    <t>eDPS</t>
  </si>
  <si>
    <t>CC</t>
  </si>
  <si>
    <t>ciblent le même ennemis</t>
  </si>
  <si>
    <t>sacré</t>
  </si>
  <si>
    <t>grêle - ciblage</t>
  </si>
  <si>
    <t>invoque 1 gros projectile</t>
  </si>
  <si>
    <t>physique</t>
  </si>
  <si>
    <t>grêle - première pierre</t>
  </si>
  <si>
    <t>laisse 2 mines à l'impact</t>
  </si>
  <si>
    <t>feu</t>
  </si>
  <si>
    <t>grêle - champ de mine</t>
  </si>
  <si>
    <t>100% de chance d'infliger un coup critique</t>
  </si>
  <si>
    <t>grêle - écrabouillage</t>
  </si>
  <si>
    <t>ralentis de 80% les ennemis</t>
  </si>
  <si>
    <t>grêle - goudron</t>
  </si>
  <si>
    <t>5 projectiles aléatoires; dgt totaux</t>
  </si>
  <si>
    <t>grêle</t>
  </si>
  <si>
    <t>change le sort en spendeur</t>
  </si>
  <si>
    <t>fureur des cieux - feu céleste</t>
  </si>
  <si>
    <t>le sol frappé bloque les ennemis pdt 6s</t>
  </si>
  <si>
    <t>foudre</t>
  </si>
  <si>
    <t>1710/6s</t>
  </si>
  <si>
    <t>fureur des cieux - vous ne passerez pas</t>
  </si>
  <si>
    <t>invoque 3 rayons au lieu d'un</t>
  </si>
  <si>
    <t>1980/6s</t>
  </si>
  <si>
    <t>fureur des cieux - fureur fractionnée</t>
  </si>
  <si>
    <t>2766/6s</t>
  </si>
  <si>
    <t>fureur des cieux - transcendance</t>
  </si>
  <si>
    <t xml:space="preserve"> + consacre le sol</t>
  </si>
  <si>
    <t>1550/5s</t>
  </si>
  <si>
    <t>fureur des cieux - terre bénie</t>
  </si>
  <si>
    <t>fureur des cieux</t>
  </si>
  <si>
    <t xml:space="preserve"> + augmente l'as de 15%</t>
  </si>
  <si>
    <t>champion d'akarat - promptitude</t>
  </si>
  <si>
    <t xml:space="preserve"> + augmente armure de 150% et 2ème vie</t>
  </si>
  <si>
    <t>champion d'akarat - émulation</t>
  </si>
  <si>
    <t xml:space="preserve"> + réduit autres cd de 12s</t>
  </si>
  <si>
    <t>champion d'akarat - mobilisation</t>
  </si>
  <si>
    <t xml:space="preserve"> + augmente régen de colère à 10</t>
  </si>
  <si>
    <t>champion d'akarat - puissance incarnée</t>
  </si>
  <si>
    <t xml:space="preserve"> + laisse un dot à chaque attaque</t>
  </si>
  <si>
    <t>460/3s</t>
  </si>
  <si>
    <t>champion d'akarat - boutefeu</t>
  </si>
  <si>
    <t>transformation: augmente dps de 35% et regen colère de 5/s; dure 20s</t>
  </si>
  <si>
    <t>champion d'akarat</t>
  </si>
  <si>
    <t>invoque aussi une tourmente de lame qui repousse et neutralise pdt 5s</t>
  </si>
  <si>
    <t>couperet - ceinture de lames</t>
  </si>
  <si>
    <t>réduit le cd d'1s par ennemi touché</t>
  </si>
  <si>
    <t>couperet - retombée rapide</t>
  </si>
  <si>
    <t>invoque aussi 3 avatars pdt 5s</t>
  </si>
  <si>
    <t>couperet - levée fraternelle</t>
  </si>
  <si>
    <t>des éclairs tombent aléatoirement pdt 5s, étourdit 2s</t>
  </si>
  <si>
    <t>couperet - éclaircie</t>
  </si>
  <si>
    <t>ajoute un dot</t>
  </si>
  <si>
    <t>310/s</t>
  </si>
  <si>
    <t>couperet - surchaffe</t>
  </si>
  <si>
    <t>couperet</t>
  </si>
  <si>
    <t xml:space="preserve"> + actif: réduit dgt non-physique subis de 25%</t>
  </si>
  <si>
    <t>lois de l'espoir - profession de foi</t>
  </si>
  <si>
    <t xml:space="preserve"> + actif: soigne soi et alliés de 1073pv par point de colère dépensé</t>
  </si>
  <si>
    <t>lois de l'espoir - béatitude</t>
  </si>
  <si>
    <t xml:space="preserve"> + actif: renforcer loi donne 5% de chance aux ennemis de lacher des globes de vie</t>
  </si>
  <si>
    <t>lois de l'espoir - cri d'espoir</t>
  </si>
  <si>
    <t xml:space="preserve"> + actif: augmente pv max soi et alliés de 10%</t>
  </si>
  <si>
    <t>lois de l'espoir - espoir éternel</t>
  </si>
  <si>
    <t xml:space="preserve"> + actif: augmente vitesse de 50%, travers les mobs</t>
  </si>
  <si>
    <t>lois de l'espoir - un ange passe</t>
  </si>
  <si>
    <t>passif: +10728 pv/s; actif: créé un bouclier qui absorbe 124128 dgt</t>
  </si>
  <si>
    <t>lois de l'espoir</t>
  </si>
  <si>
    <t xml:space="preserve"> + actif: immunise aux contôles (soi et alliés)</t>
  </si>
  <si>
    <t>lois de la justice - témérité</t>
  </si>
  <si>
    <t xml:space="preserve"> + actif: réduit dgt subis de 15% par attaque subie (max 60%)</t>
  </si>
  <si>
    <t>lois de la justice - débilitation</t>
  </si>
  <si>
    <t xml:space="preserve"> + actif: enveloppe soi et alliés d'un bouclier de 26821</t>
  </si>
  <si>
    <t>lois de la justice - armure de foi</t>
  </si>
  <si>
    <t xml:space="preserve"> + actif: augmente aussi l'armure de 7000</t>
  </si>
  <si>
    <t>lois de la justice - monolithe</t>
  </si>
  <si>
    <t xml:space="preserve"> + actif: redirige 20% des dgts des allies sur soi</t>
  </si>
  <si>
    <t>lois de la justice - altruisme</t>
  </si>
  <si>
    <t>passif: augmente all rés de 140; actif (5s): porte bonus à 490</t>
  </si>
  <si>
    <t>lois de la justice</t>
  </si>
  <si>
    <t xml:space="preserve"> + actif: tuer un ennemi prolonge l'actif d'1s (max 10)</t>
  </si>
  <si>
    <t>lois de la vaillance - exaucement</t>
  </si>
  <si>
    <t xml:space="preserve"> + actif: réduit coût sorts de 50%</t>
  </si>
  <si>
    <t>lois de la vaillance - force irrésistible</t>
  </si>
  <si>
    <t xml:space="preserve"> + actif: augmente dcc de 100</t>
  </si>
  <si>
    <t>lois de la vaillance - critique</t>
  </si>
  <si>
    <t xml:space="preserve"> + actif: 100% chance étourdir pdt 5s</t>
  </si>
  <si>
    <t>lois de la vaillance - tétanisation</t>
  </si>
  <si>
    <t xml:space="preserve"> + actif: augmente vie par coup de 21457</t>
  </si>
  <si>
    <t>lois de la vaillance - invincible</t>
  </si>
  <si>
    <t>passif: +8as; actif (5s): porte bonus à 15as</t>
  </si>
  <si>
    <t>lois de la vaillance</t>
  </si>
  <si>
    <t>invoque 2 gardes du corps pdt 10s à la place</t>
  </si>
  <si>
    <t>phalange - garde du corps</t>
  </si>
  <si>
    <t>invoque des avatars immobilent qui bloquent le passage</t>
  </si>
  <si>
    <t>phalange - écuyers</t>
  </si>
  <si>
    <t xml:space="preserve"> + repousse et 30% de chance d'étourdir pdt 2s</t>
  </si>
  <si>
    <t>phalange - cavalcade</t>
  </si>
  <si>
    <t>phalange - charge défensive</t>
  </si>
  <si>
    <t xml:space="preserve"> invoque 4 arches pdt 5s à la place</t>
  </si>
  <si>
    <t>phalange - archers</t>
  </si>
  <si>
    <t>envoie projectile</t>
  </si>
  <si>
    <t>phalange</t>
  </si>
  <si>
    <t xml:space="preserve"> + inflige en plus 50% des dgts subit pdt accumulation d'énergie</t>
  </si>
  <si>
    <t>blâme - rétorsion</t>
  </si>
  <si>
    <t xml:space="preserve"> + augmente portée</t>
  </si>
  <si>
    <t>blâme - magnitude</t>
  </si>
  <si>
    <t xml:space="preserve"> + réduit cd d'1s par ennemis touché</t>
  </si>
  <si>
    <t>blâme - représailles éternelles</t>
  </si>
  <si>
    <t xml:space="preserve"> + explosion instantanée</t>
  </si>
  <si>
    <t>blâme - sur-le-champ</t>
  </si>
  <si>
    <t xml:space="preserve"> + aspire les mobs pdt accumulation d'énergie</t>
  </si>
  <si>
    <t>blâme - aspiration</t>
  </si>
  <si>
    <t>accumule energie pdt 3s puis explose</t>
  </si>
  <si>
    <t>blâme</t>
  </si>
  <si>
    <t xml:space="preserve"> + tire les cibles et leur inflige des dgt</t>
  </si>
  <si>
    <t>charge de destrier - claie d'infamie</t>
  </si>
  <si>
    <t xml:space="preserve"> + porte durée à 3s</t>
  </si>
  <si>
    <t>charge de destrier - destrier de fond</t>
  </si>
  <si>
    <t xml:space="preserve"> + soigne de 15% pv max</t>
  </si>
  <si>
    <t>charge de destrier - jouvence</t>
  </si>
  <si>
    <t xml:space="preserve"> + brûle le sol</t>
  </si>
  <si>
    <t>550/2s</t>
  </si>
  <si>
    <t>charge de destrier - sabots de feu</t>
  </si>
  <si>
    <t xml:space="preserve"> + inflige dgts et repousse</t>
  </si>
  <si>
    <t>charge de destrier - triple galop</t>
  </si>
  <si>
    <t>enfourche un destrier pdt 2s, permet de traverser les mobs</t>
  </si>
  <si>
    <t>charge de destrier</t>
  </si>
  <si>
    <t xml:space="preserve"> + augmente chance bloquer de 50% pdt 4s</t>
  </si>
  <si>
    <t>persiflage - faites-moi mal</t>
  </si>
  <si>
    <t xml:space="preserve"> + rajoute dgt foudre pdt 4s</t>
  </si>
  <si>
    <t>persiflage - surtention</t>
  </si>
  <si>
    <t xml:space="preserve"> + réduit vitesse d'attaque des cibles de 50%, et de déplacement de 80% pdt 4s</t>
  </si>
  <si>
    <t>persiflage - figé sur place</t>
  </si>
  <si>
    <t xml:space="preserve"> + fait fuir pdt 8s au lieu de provoquer</t>
  </si>
  <si>
    <t>persiflage - fuite salutaire</t>
  </si>
  <si>
    <t xml:space="preserve"> + 1073 vie par coup par cible pdt 5s</t>
  </si>
  <si>
    <t>persiflage - ascèse</t>
  </si>
  <si>
    <t>provoque pdt 4s, génère 30 de colère+5 par cibles</t>
  </si>
  <si>
    <t>persiflage</t>
  </si>
  <si>
    <t xml:space="preserve"> + 20% chance de convertir les ennemis avec moins de 25% de pv en avatars infligeant 100% dgt</t>
  </si>
  <si>
    <t>jugement - conversion</t>
  </si>
  <si>
    <t xml:space="preserve"> + 20% chance d'infliger des ccc aux cibles</t>
  </si>
  <si>
    <t>jugement - détermination</t>
  </si>
  <si>
    <t xml:space="preserve"> + porte durée à 10s</t>
  </si>
  <si>
    <t>jugement - délibération</t>
  </si>
  <si>
    <t xml:space="preserve"> + attire les cibles</t>
  </si>
  <si>
    <t>jugement - punition collective</t>
  </si>
  <si>
    <t xml:space="preserve"> + par cible, augmente pv/s de 2682 pdt 3s</t>
  </si>
  <si>
    <t>jugement - mortification</t>
  </si>
  <si>
    <t>immobilise pdt 6s les ennemis dans la zone</t>
  </si>
  <si>
    <t>jugement</t>
  </si>
  <si>
    <t xml:space="preserve"> + apeure les ennemis pdt 3s</t>
  </si>
  <si>
    <t>sacre - répulsion</t>
  </si>
  <si>
    <t xml:space="preserve"> + dgt aux ennemis dans la zone</t>
  </si>
  <si>
    <t>155/s</t>
  </si>
  <si>
    <t>sacre - terre hostile</t>
  </si>
  <si>
    <t xml:space="preserve"> + réduit durée à 5s, empèche les ennemis d'entrer</t>
  </si>
  <si>
    <t>sacre - égide purgatoriale</t>
  </si>
  <si>
    <t xml:space="preserve"> + ralentit ennemis de 60%, 40% chance de geler pdt 2s</t>
  </si>
  <si>
    <t>froid</t>
  </si>
  <si>
    <t>sacre - froidure</t>
  </si>
  <si>
    <t xml:space="preserve"> + augmente aoe et soin a 48278</t>
  </si>
  <si>
    <t>sacre - bain de lumière</t>
  </si>
  <si>
    <t>augmente récupération pv de 32185 dans la zone pdt 10s</t>
  </si>
  <si>
    <t>sacre</t>
  </si>
  <si>
    <t xml:space="preserve"> + augmente vitesse de 60% pdt 5s quand touché</t>
  </si>
  <si>
    <t>galvanisation - ubiquité</t>
  </si>
  <si>
    <t xml:space="preserve"> + 20% chance étourdir dans les 10m pdt 2s</t>
  </si>
  <si>
    <t>galvanisation - surchage</t>
  </si>
  <si>
    <t xml:space="preserve"> + explosion quand expire</t>
  </si>
  <si>
    <t>galvanisation - peau explosive</t>
  </si>
  <si>
    <t xml:space="preserve"> + augmente durée à 7s</t>
  </si>
  <si>
    <t>galvanisation - alliage</t>
  </si>
  <si>
    <t xml:space="preserve"> + 200% épine quand actif</t>
  </si>
  <si>
    <t>galvanisation - impédance</t>
  </si>
  <si>
    <t>réduit dgt de 50% pdt 4s</t>
  </si>
  <si>
    <t>galvanisation</t>
  </si>
  <si>
    <t xml:space="preserve"> + ralentit 80% pdt 6s</t>
  </si>
  <si>
    <t>30 devant</t>
  </si>
  <si>
    <t>éblouissement - déroute</t>
  </si>
  <si>
    <t xml:space="preserve"> + 50% chance de faire exploser les ennemis avec moins de 25% de leurs pv (60% dgt sur 8m aoe)</t>
  </si>
  <si>
    <t>éblouissement - bouclier blasonné</t>
  </si>
  <si>
    <t xml:space="preserve"> + 9 colère par cible</t>
  </si>
  <si>
    <t>éblouissement - épiphanie</t>
  </si>
  <si>
    <t xml:space="preserve"> + 50% chance charmer 8s</t>
  </si>
  <si>
    <t>éblouissement - incertitude</t>
  </si>
  <si>
    <t xml:space="preserve"> + 20% dgt pdt 4s</t>
  </si>
  <si>
    <t>éblouissement - verdict divin</t>
  </si>
  <si>
    <t>éblouit 4s</t>
  </si>
  <si>
    <t>éblouissement</t>
  </si>
  <si>
    <t>envoie un poing de puissance, inflige 270% jusqu'à la cible principale</t>
  </si>
  <si>
    <t>poing des cieux - vindicte</t>
  </si>
  <si>
    <t>repousse au choc et ralentit de 80% pdt 4s</t>
  </si>
  <si>
    <t>poing des cieux - réverbération</t>
  </si>
  <si>
    <t>laisse une crevasse d'énergie, créé arc (add) entre les crevasses</t>
  </si>
  <si>
    <t>410/5s</t>
  </si>
  <si>
    <t>poing des cieux - crevasse</t>
  </si>
  <si>
    <t>laisse une tempête sur 8m pdt 5s (se stack)</t>
  </si>
  <si>
    <t>100/s</t>
  </si>
  <si>
    <t>poing des cieux - tempête céleste</t>
  </si>
  <si>
    <t>les éclairs (add) touchent les ennemis dans les 18m</t>
  </si>
  <si>
    <t>poing des cieux - puits divin</t>
  </si>
  <si>
    <t>poing des cieux</t>
  </si>
  <si>
    <t>transperce et a 50% chance de repousser</t>
  </si>
  <si>
    <t>430+250%block</t>
  </si>
  <si>
    <t>bouclier divin - bouclier perforant</t>
  </si>
  <si>
    <t>se fragmente quand touche cible principale en 3 petits boucliers</t>
  </si>
  <si>
    <t>bouclier divin - lancer destructeur</t>
  </si>
  <si>
    <t>5% armure et regen vie pdt 4s</t>
  </si>
  <si>
    <t>bouclier divin - égide divine</t>
  </si>
  <si>
    <t>33% chance exploser à l'impact</t>
  </si>
  <si>
    <t>bouclier divin - combustion</t>
  </si>
  <si>
    <t>25% chance étourdir -5 par cibles déjà touchées</t>
  </si>
  <si>
    <t>bouclier divin - bouclier stupéfiant</t>
  </si>
  <si>
    <t>bouclier divin</t>
  </si>
  <si>
    <t>les marteaux se déplacent avec soi</t>
  </si>
  <si>
    <t>marteau béni - sujétion</t>
  </si>
  <si>
    <t>10% chance provoquer aoe pdt 2s</t>
  </si>
  <si>
    <t>marteau béni - pics de glace</t>
  </si>
  <si>
    <t>50% chance générer marteau sur cible</t>
  </si>
  <si>
    <t>marteau béni - perpétuité</t>
  </si>
  <si>
    <t>arcs de foudres périodiques entre marteau et soi</t>
  </si>
  <si>
    <t>marteau béni - polarité</t>
  </si>
  <si>
    <t>25% chance bruler sol</t>
  </si>
  <si>
    <t>330/s</t>
  </si>
  <si>
    <t>marteau béni - colère noire</t>
  </si>
  <si>
    <t>marteau béni</t>
  </si>
  <si>
    <t>100% chance ralentir 3s</t>
  </si>
  <si>
    <t>18 devant</t>
  </si>
  <si>
    <t>fustigation - gelure</t>
  </si>
  <si>
    <t>attire les cible</t>
  </si>
  <si>
    <t>fustigation - magnétisme</t>
  </si>
  <si>
    <t>soigne de 5364 par cible</t>
  </si>
  <si>
    <t>fustigation - balayage sacré</t>
  </si>
  <si>
    <t>50% chance étourdir 2s</t>
  </si>
  <si>
    <t>fustigation - croc-en-jambe</t>
  </si>
  <si>
    <t>120/2s</t>
  </si>
  <si>
    <t>fustigation - incandescence</t>
  </si>
  <si>
    <t>fustigation</t>
  </si>
  <si>
    <t>réduit aoe à 8m</t>
  </si>
  <si>
    <t>1320+500%block</t>
  </si>
  <si>
    <t>coup de bouclier - ecchymose</t>
  </si>
  <si>
    <t>add quand cible meure</t>
  </si>
  <si>
    <t>700+300%block</t>
  </si>
  <si>
    <t>coup de bouclier - friabilité</t>
  </si>
  <si>
    <t>add en croix</t>
  </si>
  <si>
    <t>155+100%block</t>
  </si>
  <si>
    <t>coup de bouclier - croix de boucliers</t>
  </si>
  <si>
    <t>étourdi cible principale 1,5s</t>
  </si>
  <si>
    <t>coup de bouclier - face-à-face</t>
  </si>
  <si>
    <t>augmente portée</t>
  </si>
  <si>
    <t>740+335%block</t>
  </si>
  <si>
    <t>coup de bouclier - esquilles</t>
  </si>
  <si>
    <t>coup de bouclier</t>
  </si>
  <si>
    <t>soigne de 2146 à 3219 pv (soi + alliés)</t>
  </si>
  <si>
    <t>justice - trait sacré</t>
  </si>
  <si>
    <t>augmente vitesse de 5% (3 stacks)</t>
  </si>
  <si>
    <t>justice - glaive de justice</t>
  </si>
  <si>
    <t>à tête chercheuse</t>
  </si>
  <si>
    <t>justice - marteau guidé</t>
  </si>
  <si>
    <t>se fractionne quand touche cible principale</t>
  </si>
  <si>
    <t>justice - fission</t>
  </si>
  <si>
    <t xml:space="preserve"> + 60% dgt (10m), 20% chance étourdis 1s</t>
  </si>
  <si>
    <t>justice - saillie</t>
  </si>
  <si>
    <t>justice</t>
  </si>
  <si>
    <t>étourdis 2s si les cibles s'éloignent de 15m</t>
  </si>
  <si>
    <t>expiation - destin partagé</t>
  </si>
  <si>
    <t>6437 pv/s pdt 2s (4 stacks)</t>
  </si>
  <si>
    <t>expiation - moisson</t>
  </si>
  <si>
    <t>expiation - propagation</t>
  </si>
  <si>
    <t>20% chance immobiliser 1s</t>
  </si>
  <si>
    <t>expiation - entrave</t>
  </si>
  <si>
    <t>expiation - segments</t>
  </si>
  <si>
    <t>expiation</t>
  </si>
  <si>
    <t>5% armure en plus (5 stacks)</t>
  </si>
  <si>
    <t>cautère - cerbère</t>
  </si>
  <si>
    <t>1% as pdt 3s (10 stacks)</t>
  </si>
  <si>
    <t>cautère - zèle</t>
  </si>
  <si>
    <t>20% de chance en plus d'être un ccc</t>
  </si>
  <si>
    <t>cautère - écrasement</t>
  </si>
  <si>
    <t>augmente aoe</t>
  </si>
  <si>
    <t>cautère - amplitude</t>
  </si>
  <si>
    <t>25% de chance d'étourdir pdt 2s</t>
  </si>
  <si>
    <t>cautère - èlectrode</t>
  </si>
  <si>
    <t>cautère</t>
  </si>
  <si>
    <t>prochain coup a 15% de chance en plus d'être un ccc</t>
  </si>
  <si>
    <t>correction - intuition</t>
  </si>
  <si>
    <t>add sur attaquant</t>
  </si>
  <si>
    <t>correction - riposte</t>
  </si>
  <si>
    <t>12874 pv/s pdt 2s</t>
  </si>
  <si>
    <t>correction - renaissance</t>
  </si>
  <si>
    <t>15% as pdt 3s</t>
  </si>
  <si>
    <t>correction - vélocité</t>
  </si>
  <si>
    <t>15m</t>
  </si>
  <si>
    <t>correction - rugissement</t>
  </si>
  <si>
    <t>correction</t>
  </si>
  <si>
    <t>note</t>
  </si>
  <si>
    <t>élément</t>
  </si>
  <si>
    <t>cibles 3</t>
  </si>
  <si>
    <t>aoe 3</t>
  </si>
  <si>
    <t>% dommage 3</t>
  </si>
  <si>
    <t>cibles 2</t>
  </si>
  <si>
    <t>aoe 2</t>
  </si>
  <si>
    <t>% dommage 2</t>
  </si>
  <si>
    <t>% proc 2</t>
  </si>
  <si>
    <t>cibles 1</t>
  </si>
  <si>
    <t>aoe 1</t>
  </si>
  <si>
    <t>% dommage 1</t>
  </si>
  <si>
    <t>% proc 1</t>
  </si>
  <si>
    <t>cd</t>
  </si>
  <si>
    <t>coût</t>
  </si>
  <si>
    <t>skill</t>
  </si>
  <si>
    <t xml:space="preserve"> - ciblage</t>
  </si>
  <si>
    <t xml:space="preserve"> - première pierre</t>
  </si>
  <si>
    <t xml:space="preserve"> - champ de mine</t>
  </si>
  <si>
    <t xml:space="preserve"> - écrabouillage</t>
  </si>
  <si>
    <t xml:space="preserve"> - goudron</t>
  </si>
  <si>
    <t>bonus skill</t>
  </si>
  <si>
    <t xml:space="preserve"> - feu céleste</t>
  </si>
  <si>
    <t xml:space="preserve"> - vous ne passerez pas</t>
  </si>
  <si>
    <t xml:space="preserve"> - fureur fractionnée</t>
  </si>
  <si>
    <t xml:space="preserve"> - transcendance</t>
  </si>
  <si>
    <t xml:space="preserve"> - terre bénie</t>
  </si>
  <si>
    <t xml:space="preserve"> - ceinture de lames</t>
  </si>
  <si>
    <t xml:space="preserve"> - retombée rapide</t>
  </si>
  <si>
    <t xml:space="preserve"> - levée fraternelle</t>
  </si>
  <si>
    <t xml:space="preserve"> - éclaircie</t>
  </si>
  <si>
    <t xml:space="preserve"> - surchaffe</t>
  </si>
  <si>
    <t xml:space="preserve"> - garde du corps</t>
  </si>
  <si>
    <t xml:space="preserve"> - écuyers</t>
  </si>
  <si>
    <t xml:space="preserve"> - cavalcade</t>
  </si>
  <si>
    <t xml:space="preserve"> - charge défensive</t>
  </si>
  <si>
    <t xml:space="preserve"> - archers</t>
  </si>
  <si>
    <t xml:space="preserve"> - rétorsion</t>
  </si>
  <si>
    <t xml:space="preserve"> - magnitude</t>
  </si>
  <si>
    <t xml:space="preserve"> - représailles éternelles</t>
  </si>
  <si>
    <t xml:space="preserve"> - sur-le-champ</t>
  </si>
  <si>
    <t xml:space="preserve"> - aspiration</t>
  </si>
  <si>
    <t xml:space="preserve"> - claie d'infamie</t>
  </si>
  <si>
    <t xml:space="preserve"> - sabots de feu</t>
  </si>
  <si>
    <t xml:space="preserve"> - triple galop</t>
  </si>
  <si>
    <t xml:space="preserve"> - surtention</t>
  </si>
  <si>
    <t xml:space="preserve"> - terre hostile</t>
  </si>
  <si>
    <t xml:space="preserve"> - peau explosive</t>
  </si>
  <si>
    <t xml:space="preserve"> - vindicte</t>
  </si>
  <si>
    <t xml:space="preserve"> - réverbération</t>
  </si>
  <si>
    <t xml:space="preserve"> - crevasse</t>
  </si>
  <si>
    <t xml:space="preserve"> - tempête céleste</t>
  </si>
  <si>
    <t xml:space="preserve"> - puits divin</t>
  </si>
  <si>
    <t xml:space="preserve"> - bouclier perforant</t>
  </si>
  <si>
    <t xml:space="preserve"> - lancer destructeur</t>
  </si>
  <si>
    <t xml:space="preserve"> - égide divine</t>
  </si>
  <si>
    <t xml:space="preserve"> - combustion</t>
  </si>
  <si>
    <t xml:space="preserve"> - bouclier stupéfiant</t>
  </si>
  <si>
    <t xml:space="preserve"> - sujétion</t>
  </si>
  <si>
    <t xml:space="preserve"> - pics de glace</t>
  </si>
  <si>
    <t xml:space="preserve"> - perpétuité</t>
  </si>
  <si>
    <t xml:space="preserve"> - polarité</t>
  </si>
  <si>
    <t xml:space="preserve"> - colère noire</t>
  </si>
  <si>
    <t xml:space="preserve"> - gelure</t>
  </si>
  <si>
    <t xml:space="preserve"> - magnétisme</t>
  </si>
  <si>
    <t xml:space="preserve"> - balayage sacré</t>
  </si>
  <si>
    <t xml:space="preserve"> - croc-en-jambe</t>
  </si>
  <si>
    <t xml:space="preserve"> - incandescence</t>
  </si>
  <si>
    <t xml:space="preserve"> - ecchymose</t>
  </si>
  <si>
    <t xml:space="preserve"> - friabilité</t>
  </si>
  <si>
    <t xml:space="preserve"> - croix de boucliers</t>
  </si>
  <si>
    <t xml:space="preserve"> - face-à-face</t>
  </si>
  <si>
    <t xml:space="preserve"> - esquilles</t>
  </si>
  <si>
    <t>NS Dot</t>
  </si>
  <si>
    <t>Dot/s</t>
  </si>
  <si>
    <t>wd 2</t>
  </si>
  <si>
    <t>wd</t>
  </si>
  <si>
    <t>multi/cast</t>
  </si>
  <si>
    <t>NS Dot/s</t>
  </si>
  <si>
    <t>Dot/cast</t>
  </si>
  <si>
    <t>skill reference</t>
  </si>
  <si>
    <t>gogok (1-15)</t>
  </si>
  <si>
    <t>ferveur</t>
  </si>
  <si>
    <t>attaques par seconde</t>
  </si>
  <si>
    <t>augmentation bloquage</t>
  </si>
  <si>
    <t>total:</t>
  </si>
  <si>
    <t>dégats moyens/attaque</t>
  </si>
  <si>
    <t>phalange opiniatre</t>
  </si>
  <si>
    <t>bastion (générateur)</t>
  </si>
  <si>
    <t>fléau des puissants</t>
  </si>
  <si>
    <t>bonus élémentaire</t>
  </si>
  <si>
    <t>%block</t>
  </si>
  <si>
    <t>proc reniement</t>
  </si>
  <si>
    <t>bastion (spendeur)</t>
  </si>
  <si>
    <t>taeguk (rang)</t>
  </si>
  <si>
    <t>block</t>
  </si>
  <si>
    <t>reniement</t>
  </si>
  <si>
    <t>zei (rang)</t>
  </si>
  <si>
    <t>sangle de harrington (100-135)</t>
  </si>
  <si>
    <t>elite %</t>
  </si>
  <si>
    <t>drakon</t>
  </si>
  <si>
    <t>piégé (rang)</t>
  </si>
  <si>
    <t>pantalon de Mr.Yan</t>
  </si>
  <si>
    <t>choix</t>
  </si>
  <si>
    <t>bonus</t>
  </si>
  <si>
    <t>augmentation vitesse d'attaque</t>
  </si>
  <si>
    <t>ias buff</t>
  </si>
  <si>
    <t>crâne infernal</t>
  </si>
  <si>
    <t>brassard fortepoigne (20-30)</t>
  </si>
  <si>
    <t>cause sacrée</t>
  </si>
  <si>
    <t>augmentation dgt par les comp.</t>
  </si>
  <si>
    <t>proc roland</t>
  </si>
  <si>
    <t>toxine</t>
  </si>
  <si>
    <t xml:space="preserve">force des cieux </t>
  </si>
  <si>
    <t>nombre de cibles</t>
  </si>
  <si>
    <t>vitesse arme</t>
  </si>
  <si>
    <t>set roland (6p)</t>
  </si>
  <si>
    <t>multiplicateur</t>
  </si>
  <si>
    <t>multiplicatif</t>
  </si>
  <si>
    <t>dégât moyen</t>
  </si>
  <si>
    <t>set roland (4p)</t>
  </si>
  <si>
    <t>loi de vaillance - critique</t>
  </si>
  <si>
    <t>dommage de zone</t>
  </si>
  <si>
    <t>additif</t>
  </si>
  <si>
    <t>DPS fiche</t>
  </si>
  <si>
    <t>bonus objets/set croisé</t>
  </si>
  <si>
    <t>buffs hors fiche</t>
  </si>
  <si>
    <t>buffs fiche</t>
  </si>
  <si>
    <t xml:space="preserve"> - boutefeu</t>
  </si>
  <si>
    <t>paragon</t>
  </si>
  <si>
    <t>gemme casque</t>
  </si>
  <si>
    <t>collier</t>
  </si>
  <si>
    <t>bouclier de croisé</t>
  </si>
  <si>
    <t>max</t>
  </si>
  <si>
    <t>équipé</t>
  </si>
  <si>
    <t>couronne de léoric</t>
  </si>
  <si>
    <t>Réduction du temps de recharge</t>
  </si>
  <si>
    <t>cdr fiche</t>
  </si>
  <si>
    <t>gogok</t>
  </si>
  <si>
    <t>born</t>
  </si>
  <si>
    <t>pourpoin de cendre</t>
  </si>
  <si>
    <t>force irrésistible</t>
  </si>
  <si>
    <t>chute de l'orgueil</t>
  </si>
  <si>
    <t>lerouge</t>
  </si>
  <si>
    <t>rcr fiche</t>
  </si>
  <si>
    <t>rcr feu</t>
  </si>
  <si>
    <t>Réduction de coût en ressource</t>
  </si>
  <si>
    <t>multipliers (buff et spammé)</t>
  </si>
  <si>
    <t>multi</t>
  </si>
  <si>
    <t>%/ cast</t>
  </si>
  <si>
    <t>%/ cast 2</t>
  </si>
  <si>
    <t>crit moyen</t>
  </si>
  <si>
    <t>crit moy buff</t>
  </si>
  <si>
    <t>uptime</t>
  </si>
  <si>
    <t>cd buff</t>
  </si>
  <si>
    <t>Pets (invocations)</t>
  </si>
  <si>
    <t>phalanges sur cible</t>
  </si>
  <si>
    <t>cheville ouvrière (rang)</t>
  </si>
  <si>
    <t>colère de frydehr</t>
  </si>
  <si>
    <t>set akkhan</t>
  </si>
  <si>
    <t>conclave des éléments</t>
  </si>
  <si>
    <t>persiflage - faites moi mal</t>
  </si>
  <si>
    <t>loi de vaillance (de passive à active)</t>
  </si>
  <si>
    <t>sort</t>
  </si>
  <si>
    <t>%</t>
  </si>
  <si>
    <t>charge du destrier</t>
  </si>
  <si>
    <t>charge du destrier - destrier de fond</t>
  </si>
  <si>
    <t>durée</t>
  </si>
  <si>
    <t>cd de base</t>
  </si>
  <si>
    <t>cd réduit</t>
  </si>
  <si>
    <t>vive frappe</t>
  </si>
  <si>
    <t>bras armé de la justice</t>
  </si>
  <si>
    <t>anneau du zodiaque obsidienne</t>
  </si>
  <si>
    <t>union éternelle</t>
  </si>
  <si>
    <t>boucier inné</t>
  </si>
  <si>
    <t xml:space="preserve"> -1 par sort</t>
  </si>
  <si>
    <t>commandant en chef</t>
  </si>
  <si>
    <t>tps restant</t>
  </si>
  <si>
    <t>eberli charo (45-50)</t>
  </si>
  <si>
    <t>affecté par le bonus 2p roland</t>
  </si>
  <si>
    <t xml:space="preserve"> -1 par fustigation/coup de bouclier</t>
  </si>
  <si>
    <t>tasker et théo (40-50)</t>
  </si>
  <si>
    <t>frere de sang (15-20)</t>
  </si>
  <si>
    <t>lame de prophetie (cibles)</t>
  </si>
  <si>
    <t xml:space="preserve"> =1</t>
  </si>
  <si>
    <t xml:space="preserve"> =2+</t>
  </si>
  <si>
    <t>pts ajouté</t>
  </si>
  <si>
    <t>dps fiche</t>
  </si>
  <si>
    <t>dps elem</t>
  </si>
  <si>
    <t>dexterite</t>
  </si>
  <si>
    <t>intelligence</t>
  </si>
  <si>
    <t>vitalite</t>
  </si>
  <si>
    <t>% vie</t>
  </si>
  <si>
    <t>all res</t>
  </si>
  <si>
    <t>reduc. Melee</t>
  </si>
  <si>
    <t>reduc. Dist.</t>
  </si>
  <si>
    <t>reduc. Elite</t>
  </si>
  <si>
    <t>reduc. Nn-phys</t>
  </si>
  <si>
    <t>ccc</t>
  </si>
  <si>
    <t>dcc</t>
  </si>
  <si>
    <t>ias</t>
  </si>
  <si>
    <t>% elem</t>
  </si>
  <si>
    <t>vie</t>
  </si>
  <si>
    <t>mitigation</t>
  </si>
  <si>
    <t>robustesse</t>
  </si>
  <si>
    <t>armure</t>
  </si>
  <si>
    <t>armure de base</t>
  </si>
  <si>
    <t>% armure</t>
  </si>
  <si>
    <t>reduc. Dgt</t>
  </si>
  <si>
    <t>Gains</t>
  </si>
  <si>
    <t>DPS</t>
  </si>
  <si>
    <t>fiche détaillée</t>
  </si>
  <si>
    <t>bottes</t>
  </si>
  <si>
    <t>Objets</t>
  </si>
  <si>
    <t>caractéristique</t>
  </si>
  <si>
    <t>attaque</t>
  </si>
  <si>
    <t>defence</t>
  </si>
  <si>
    <t>autre</t>
  </si>
  <si>
    <t>vitalité</t>
  </si>
  <si>
    <r>
      <t xml:space="preserve">Points parangon </t>
    </r>
    <r>
      <rPr>
        <sz val="10"/>
        <rFont val="Arial"/>
        <family val="2"/>
      </rPr>
      <t>(remplir le nombre de pts mis)</t>
    </r>
  </si>
  <si>
    <t>niveau paragon</t>
  </si>
  <si>
    <t>à mettre</t>
  </si>
  <si>
    <t>(mappeur)</t>
  </si>
  <si>
    <t>res physique</t>
  </si>
  <si>
    <t>res froid</t>
  </si>
  <si>
    <t>res feu</t>
  </si>
  <si>
    <t>res foudre</t>
  </si>
  <si>
    <t>res poison</t>
  </si>
  <si>
    <t>res arcane/sacré</t>
  </si>
  <si>
    <t>vigilance</t>
  </si>
  <si>
    <t>Sorts/Gemmes</t>
  </si>
  <si>
    <t>altération éso. (rang)</t>
  </si>
  <si>
    <t>opulence (nbre chasse)</t>
  </si>
  <si>
    <t>lois de vaillance</t>
  </si>
  <si>
    <t>lois de l'éspoir</t>
  </si>
  <si>
    <t>pas utilisé</t>
  </si>
  <si>
    <t>passif</t>
  </si>
  <si>
    <t>Mappeur</t>
  </si>
  <si>
    <t>Ancient?</t>
  </si>
  <si>
    <t>Base Min</t>
  </si>
  <si>
    <t>Base Max</t>
  </si>
  <si>
    <t>APS</t>
  </si>
  <si>
    <t>Bonus Min</t>
  </si>
  <si>
    <t>Bonus Max</t>
  </si>
  <si>
    <t>Max DPS Calc</t>
  </si>
  <si>
    <t>D3 Wiki Max</t>
  </si>
  <si>
    <t>Ancient Min</t>
  </si>
  <si>
    <t>Ancient Max</t>
  </si>
  <si>
    <t>Average Base</t>
  </si>
  <si>
    <t>Max Regular Bonus</t>
  </si>
  <si>
    <t>Max Ancient Bonus</t>
  </si>
  <si>
    <t>N/A</t>
  </si>
  <si>
    <t>Masse (1m)</t>
  </si>
  <si>
    <t>Masse (2m)</t>
  </si>
  <si>
    <t>Hache (2m)</t>
  </si>
  <si>
    <t>Epée (2m)</t>
  </si>
  <si>
    <t>Fléau (1m)</t>
  </si>
  <si>
    <t>Fléau (2m)</t>
  </si>
  <si>
    <t>Hache (1m)</t>
  </si>
  <si>
    <t>Epée (1m)</t>
  </si>
  <si>
    <t>Dague (1m)</t>
  </si>
  <si>
    <t>Lance (1m)</t>
  </si>
  <si>
    <t>Arme d'hast (2m)</t>
  </si>
  <si>
    <t>Oui</t>
  </si>
  <si>
    <t>Type d'arme:</t>
  </si>
  <si>
    <t>Min/Max affix (seulement le roll)</t>
  </si>
  <si>
    <t>% Dommage</t>
  </si>
  <si>
    <t>Vitesse d'attaque arme (le roll)</t>
  </si>
  <si>
    <t>DPS avec:</t>
  </si>
  <si>
    <t>DPS de l'arme</t>
  </si>
  <si>
    <t>Plage de dommage parfaite</t>
  </si>
  <si>
    <t>10% de dégât</t>
  </si>
  <si>
    <t>7% de vitesse d'attaque</t>
  </si>
  <si>
    <t>Traitre ---&gt;</t>
  </si>
  <si>
    <t>&lt;--- Traitre</t>
  </si>
  <si>
    <t>Dgt min</t>
  </si>
  <si>
    <t>Dgt max</t>
  </si>
  <si>
    <t>% physique</t>
  </si>
  <si>
    <t>% feu</t>
  </si>
  <si>
    <t>% foudre</t>
  </si>
  <si>
    <t>% sacré</t>
  </si>
  <si>
    <t>dps élite</t>
  </si>
  <si>
    <t>% dégats de l'arme (calcul)</t>
  </si>
  <si>
    <t>Activer % élite</t>
  </si>
</sst>
</file>

<file path=xl/styles.xml><?xml version="1.0" encoding="utf-8"?>
<styleSheet xmlns="http://schemas.openxmlformats.org/spreadsheetml/2006/main">
  <numFmts count="6">
    <numFmt numFmtId="43" formatCode="_-* #,##0.00\ _€_-;\-* #,##0.00\ _€_-;_-* &quot;-&quot;??\ _€_-;_-@_-"/>
    <numFmt numFmtId="164" formatCode="0.0%"/>
    <numFmt numFmtId="165" formatCode="0.000"/>
    <numFmt numFmtId="166" formatCode="_-* #,##0\ _€_-;\-* #,##0\ _€_-;_-* &quot;-&quot;??\ _€_-;_-@_-"/>
    <numFmt numFmtId="167" formatCode="0.000000%"/>
    <numFmt numFmtId="168" formatCode="0.0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b/>
      <sz val="10"/>
      <color theme="3" tint="0.39997558519241921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8"/>
      <name val="Arial"/>
      <family val="2"/>
    </font>
    <font>
      <b/>
      <sz val="9"/>
      <color theme="3" tint="0.3999755851924192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0FF00"/>
        <bgColor rgb="FF00FF00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E06666"/>
        <bgColor rgb="FFE06666"/>
      </patternFill>
    </fill>
    <fill>
      <patternFill patternType="solid">
        <fgColor rgb="FFFFE599"/>
        <bgColor rgb="FFFFE599"/>
      </patternFill>
    </fill>
    <fill>
      <patternFill patternType="solid">
        <fgColor rgb="FFF9CB9C"/>
        <bgColor rgb="FFF9CB9C"/>
      </patternFill>
    </fill>
    <fill>
      <patternFill patternType="solid">
        <fgColor rgb="FFB7B7B7"/>
        <bgColor rgb="FFB7B7B7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0">
    <xf numFmtId="0" fontId="0" fillId="0" borderId="0" xfId="0"/>
    <xf numFmtId="0" fontId="0" fillId="2" borderId="0" xfId="0" applyFill="1"/>
    <xf numFmtId="0" fontId="3" fillId="0" borderId="0" xfId="2" applyFont="1"/>
    <xf numFmtId="0" fontId="2" fillId="0" borderId="0" xfId="5"/>
    <xf numFmtId="0" fontId="2" fillId="0" borderId="0" xfId="5" applyAlignment="1">
      <alignment horizontal="left"/>
    </xf>
    <xf numFmtId="0" fontId="2" fillId="0" borderId="0" xfId="5" applyAlignment="1"/>
    <xf numFmtId="0" fontId="4" fillId="0" borderId="0" xfId="5" applyFont="1"/>
    <xf numFmtId="43" fontId="4" fillId="0" borderId="0" xfId="5" applyNumberFormat="1" applyFont="1"/>
    <xf numFmtId="0" fontId="4" fillId="0" borderId="2" xfId="5" applyFont="1" applyBorder="1"/>
    <xf numFmtId="0" fontId="4" fillId="7" borderId="6" xfId="5" applyFont="1" applyFill="1" applyBorder="1"/>
    <xf numFmtId="0" fontId="5" fillId="0" borderId="4" xfId="5" applyFont="1" applyBorder="1"/>
    <xf numFmtId="0" fontId="4" fillId="2" borderId="2" xfId="5" applyFont="1" applyFill="1" applyBorder="1"/>
    <xf numFmtId="0" fontId="4" fillId="0" borderId="0" xfId="5" applyFont="1" applyBorder="1"/>
    <xf numFmtId="0" fontId="4" fillId="9" borderId="5" xfId="5" applyFont="1" applyFill="1" applyBorder="1"/>
    <xf numFmtId="43" fontId="4" fillId="0" borderId="0" xfId="4" applyFont="1"/>
    <xf numFmtId="0" fontId="4" fillId="0" borderId="12" xfId="5" applyFont="1" applyBorder="1"/>
    <xf numFmtId="0" fontId="5" fillId="0" borderId="1" xfId="5" applyFont="1" applyBorder="1"/>
    <xf numFmtId="0" fontId="4" fillId="3" borderId="0" xfId="5" applyFont="1" applyFill="1" applyBorder="1"/>
    <xf numFmtId="2" fontId="4" fillId="0" borderId="1" xfId="5" applyNumberFormat="1" applyFont="1" applyBorder="1"/>
    <xf numFmtId="0" fontId="4" fillId="0" borderId="8" xfId="5" applyFont="1" applyBorder="1"/>
    <xf numFmtId="0" fontId="4" fillId="0" borderId="9" xfId="5" applyFont="1" applyBorder="1"/>
    <xf numFmtId="0" fontId="4" fillId="0" borderId="0" xfId="5" applyFont="1" applyFill="1" applyBorder="1"/>
    <xf numFmtId="0" fontId="4" fillId="0" borderId="3" xfId="5" applyFont="1" applyBorder="1"/>
    <xf numFmtId="0" fontId="4" fillId="4" borderId="7" xfId="5" applyFont="1" applyFill="1" applyBorder="1"/>
    <xf numFmtId="0" fontId="4" fillId="6" borderId="6" xfId="5" applyFont="1" applyFill="1" applyBorder="1"/>
    <xf numFmtId="0" fontId="4" fillId="0" borderId="4" xfId="5" applyFont="1" applyBorder="1"/>
    <xf numFmtId="0" fontId="4" fillId="0" borderId="1" xfId="5" applyFont="1" applyBorder="1"/>
    <xf numFmtId="0" fontId="4" fillId="2" borderId="0" xfId="5" applyFont="1" applyFill="1" applyBorder="1"/>
    <xf numFmtId="0" fontId="5" fillId="0" borderId="0" xfId="5" applyFont="1" applyBorder="1"/>
    <xf numFmtId="0" fontId="5" fillId="0" borderId="13" xfId="5" applyFont="1" applyBorder="1"/>
    <xf numFmtId="0" fontId="4" fillId="0" borderId="5" xfId="5" applyFont="1" applyBorder="1"/>
    <xf numFmtId="0" fontId="4" fillId="10" borderId="10" xfId="5" applyFont="1" applyFill="1" applyBorder="1"/>
    <xf numFmtId="9" fontId="4" fillId="0" borderId="11" xfId="6" applyFont="1" applyBorder="1"/>
    <xf numFmtId="0" fontId="4" fillId="8" borderId="10" xfId="5" applyFont="1" applyFill="1" applyBorder="1"/>
    <xf numFmtId="0" fontId="6" fillId="2" borderId="0" xfId="5" applyFont="1" applyFill="1"/>
    <xf numFmtId="9" fontId="4" fillId="0" borderId="10" xfId="6" applyFont="1" applyBorder="1"/>
    <xf numFmtId="0" fontId="4" fillId="5" borderId="10" xfId="5" applyFont="1" applyFill="1" applyBorder="1"/>
    <xf numFmtId="0" fontId="5" fillId="0" borderId="3" xfId="5" applyFont="1" applyBorder="1"/>
    <xf numFmtId="0" fontId="0" fillId="0" borderId="12" xfId="0" applyBorder="1"/>
    <xf numFmtId="164" fontId="0" fillId="2" borderId="0" xfId="1" applyNumberFormat="1" applyFont="1" applyFill="1"/>
    <xf numFmtId="9" fontId="0" fillId="2" borderId="0" xfId="1" applyFont="1" applyFill="1"/>
    <xf numFmtId="164" fontId="8" fillId="0" borderId="0" xfId="1" applyNumberFormat="1" applyFont="1"/>
    <xf numFmtId="0" fontId="8" fillId="0" borderId="0" xfId="0" applyFont="1"/>
    <xf numFmtId="0" fontId="0" fillId="0" borderId="2" xfId="0" applyBorder="1"/>
    <xf numFmtId="0" fontId="4" fillId="0" borderId="0" xfId="5" applyFont="1" applyBorder="1" applyAlignment="1">
      <alignment horizontal="center"/>
    </xf>
    <xf numFmtId="0" fontId="5" fillId="0" borderId="0" xfId="5" applyFont="1"/>
    <xf numFmtId="43" fontId="4" fillId="0" borderId="0" xfId="5" applyNumberFormat="1" applyFont="1" applyBorder="1"/>
    <xf numFmtId="0" fontId="4" fillId="0" borderId="1" xfId="5" applyFont="1" applyBorder="1" applyAlignment="1"/>
    <xf numFmtId="0" fontId="4" fillId="7" borderId="1" xfId="5" applyFont="1" applyFill="1" applyBorder="1" applyAlignment="1"/>
    <xf numFmtId="0" fontId="4" fillId="9" borderId="1" xfId="5" applyFont="1" applyFill="1" applyBorder="1" applyAlignment="1"/>
    <xf numFmtId="0" fontId="4" fillId="4" borderId="1" xfId="5" applyFont="1" applyFill="1" applyBorder="1" applyAlignment="1"/>
    <xf numFmtId="0" fontId="4" fillId="3" borderId="1" xfId="5" applyFont="1" applyFill="1" applyBorder="1" applyAlignment="1"/>
    <xf numFmtId="0" fontId="4" fillId="0" borderId="12" xfId="5" applyFont="1" applyBorder="1" applyAlignment="1">
      <alignment horizontal="right"/>
    </xf>
    <xf numFmtId="9" fontId="4" fillId="0" borderId="0" xfId="5" applyNumberFormat="1" applyFont="1" applyBorder="1"/>
    <xf numFmtId="0" fontId="4" fillId="0" borderId="4" xfId="5" applyFont="1" applyBorder="1" applyAlignment="1"/>
    <xf numFmtId="0" fontId="4" fillId="0" borderId="6" xfId="5" applyFont="1" applyBorder="1"/>
    <xf numFmtId="0" fontId="0" fillId="11" borderId="0" xfId="0" applyFill="1"/>
    <xf numFmtId="0" fontId="4" fillId="2" borderId="0" xfId="5" applyFont="1" applyFill="1"/>
    <xf numFmtId="165" fontId="5" fillId="0" borderId="0" xfId="5" applyNumberFormat="1" applyFont="1"/>
    <xf numFmtId="2" fontId="0" fillId="0" borderId="0" xfId="0" applyNumberFormat="1"/>
    <xf numFmtId="0" fontId="0" fillId="11" borderId="0" xfId="0" applyFill="1" applyAlignment="1">
      <alignment horizontal="right"/>
    </xf>
    <xf numFmtId="0" fontId="0" fillId="8" borderId="0" xfId="0" applyFill="1" applyAlignment="1"/>
    <xf numFmtId="0" fontId="0" fillId="0" borderId="0" xfId="0" applyAlignment="1">
      <alignment horizontal="right"/>
    </xf>
    <xf numFmtId="2" fontId="0" fillId="0" borderId="14" xfId="0" applyNumberFormat="1" applyBorder="1"/>
    <xf numFmtId="0" fontId="0" fillId="0" borderId="0" xfId="0" applyBorder="1"/>
    <xf numFmtId="0" fontId="4" fillId="2" borderId="0" xfId="5" applyFont="1" applyFill="1" applyBorder="1" applyAlignment="1">
      <alignment horizontal="right"/>
    </xf>
    <xf numFmtId="0" fontId="4" fillId="12" borderId="12" xfId="5" applyFont="1" applyFill="1" applyBorder="1"/>
    <xf numFmtId="0" fontId="0" fillId="0" borderId="0" xfId="0" applyAlignment="1"/>
    <xf numFmtId="0" fontId="0" fillId="0" borderId="0" xfId="0" applyFont="1" applyAlignment="1"/>
    <xf numFmtId="43" fontId="0" fillId="0" borderId="0" xfId="7" applyFont="1"/>
    <xf numFmtId="10" fontId="0" fillId="0" borderId="0" xfId="1" applyNumberFormat="1" applyFont="1"/>
    <xf numFmtId="0" fontId="0" fillId="0" borderId="0" xfId="0" applyAlignment="1">
      <alignment horizontal="right"/>
    </xf>
    <xf numFmtId="167" fontId="0" fillId="0" borderId="0" xfId="1" applyNumberFormat="1" applyFont="1"/>
    <xf numFmtId="43" fontId="0" fillId="0" borderId="0" xfId="7" applyFont="1" applyAlignment="1"/>
    <xf numFmtId="0" fontId="0" fillId="2" borderId="2" xfId="0" applyFill="1" applyBorder="1"/>
    <xf numFmtId="43" fontId="0" fillId="0" borderId="2" xfId="7" applyFont="1" applyBorder="1"/>
    <xf numFmtId="167" fontId="0" fillId="0" borderId="2" xfId="1" applyNumberFormat="1" applyFont="1" applyBorder="1"/>
    <xf numFmtId="0" fontId="0" fillId="2" borderId="2" xfId="0" applyFont="1" applyFill="1" applyBorder="1"/>
    <xf numFmtId="166" fontId="10" fillId="0" borderId="0" xfId="7" applyNumberFormat="1" applyFont="1"/>
    <xf numFmtId="43" fontId="10" fillId="0" borderId="2" xfId="7" applyFont="1" applyBorder="1"/>
    <xf numFmtId="0" fontId="11" fillId="0" borderId="0" xfId="0" applyFont="1"/>
    <xf numFmtId="0" fontId="0" fillId="0" borderId="10" xfId="0" applyBorder="1"/>
    <xf numFmtId="0" fontId="0" fillId="2" borderId="11" xfId="0" applyFill="1" applyBorder="1"/>
    <xf numFmtId="0" fontId="11" fillId="0" borderId="2" xfId="0" applyFont="1" applyBorder="1"/>
    <xf numFmtId="0" fontId="7" fillId="0" borderId="0" xfId="0" applyFont="1" applyBorder="1" applyAlignment="1">
      <alignment horizontal="center"/>
    </xf>
    <xf numFmtId="43" fontId="10" fillId="0" borderId="0" xfId="7" applyFont="1" applyBorder="1"/>
    <xf numFmtId="0" fontId="0" fillId="0" borderId="0" xfId="0" applyFill="1" applyBorder="1"/>
    <xf numFmtId="1" fontId="0" fillId="0" borderId="0" xfId="0" applyNumberFormat="1"/>
    <xf numFmtId="0" fontId="0" fillId="0" borderId="0" xfId="5" applyFont="1"/>
    <xf numFmtId="1" fontId="0" fillId="0" borderId="2" xfId="0" applyNumberFormat="1" applyBorder="1"/>
    <xf numFmtId="0" fontId="2" fillId="0" borderId="0" xfId="0" applyFont="1" applyBorder="1" applyAlignment="1"/>
    <xf numFmtId="0" fontId="2" fillId="0" borderId="0" xfId="0" applyFont="1" applyBorder="1"/>
    <xf numFmtId="0" fontId="16" fillId="0" borderId="0" xfId="0" applyFont="1" applyBorder="1" applyAlignment="1"/>
    <xf numFmtId="0" fontId="16" fillId="0" borderId="0" xfId="0" applyFont="1" applyBorder="1"/>
    <xf numFmtId="0" fontId="12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/>
    <xf numFmtId="1" fontId="0" fillId="0" borderId="0" xfId="0" applyNumberFormat="1" applyFont="1" applyBorder="1" applyAlignment="1"/>
    <xf numFmtId="0" fontId="17" fillId="13" borderId="0" xfId="0" applyFont="1" applyFill="1" applyBorder="1" applyAlignment="1"/>
    <xf numFmtId="1" fontId="0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0" fillId="0" borderId="0" xfId="0" applyFont="1" applyBorder="1"/>
    <xf numFmtId="0" fontId="14" fillId="19" borderId="16" xfId="0" applyFont="1" applyFill="1" applyBorder="1" applyAlignment="1"/>
    <xf numFmtId="0" fontId="2" fillId="20" borderId="9" xfId="0" applyFont="1" applyFill="1" applyBorder="1"/>
    <xf numFmtId="0" fontId="2" fillId="20" borderId="8" xfId="0" applyFont="1" applyFill="1" applyBorder="1" applyAlignment="1"/>
    <xf numFmtId="0" fontId="2" fillId="21" borderId="9" xfId="0" applyFont="1" applyFill="1" applyBorder="1"/>
    <xf numFmtId="0" fontId="2" fillId="21" borderId="8" xfId="0" applyFont="1" applyFill="1" applyBorder="1" applyAlignment="1"/>
    <xf numFmtId="0" fontId="0" fillId="20" borderId="15" xfId="0" applyFill="1" applyBorder="1" applyAlignment="1"/>
    <xf numFmtId="0" fontId="0" fillId="21" borderId="16" xfId="0" applyFill="1" applyBorder="1" applyAlignment="1"/>
    <xf numFmtId="0" fontId="0" fillId="22" borderId="17" xfId="0" applyFill="1" applyBorder="1" applyAlignment="1"/>
    <xf numFmtId="0" fontId="0" fillId="22" borderId="6" xfId="0" applyFill="1" applyBorder="1" applyAlignment="1">
      <alignment horizontal="right"/>
    </xf>
    <xf numFmtId="0" fontId="0" fillId="22" borderId="4" xfId="0" applyFill="1" applyBorder="1" applyAlignment="1"/>
    <xf numFmtId="0" fontId="0" fillId="0" borderId="0" xfId="0" applyAlignment="1">
      <alignment horizontal="right"/>
    </xf>
    <xf numFmtId="0" fontId="0" fillId="0" borderId="2" xfId="0" applyBorder="1"/>
    <xf numFmtId="0" fontId="8" fillId="0" borderId="0" xfId="0" applyFont="1" applyBorder="1" applyAlignment="1">
      <alignment horizontal="right"/>
    </xf>
    <xf numFmtId="1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9" fontId="4" fillId="0" borderId="3" xfId="1" applyFont="1" applyFill="1" applyBorder="1"/>
    <xf numFmtId="9" fontId="4" fillId="0" borderId="0" xfId="1" applyFont="1" applyFill="1" applyBorder="1"/>
    <xf numFmtId="9" fontId="4" fillId="0" borderId="4" xfId="1" applyFont="1" applyFill="1" applyBorder="1"/>
    <xf numFmtId="0" fontId="0" fillId="0" borderId="0" xfId="0" applyFill="1"/>
    <xf numFmtId="0" fontId="19" fillId="0" borderId="9" xfId="5" applyFont="1" applyBorder="1" applyAlignment="1">
      <alignment horizontal="right"/>
    </xf>
    <xf numFmtId="0" fontId="5" fillId="0" borderId="8" xfId="5" applyFont="1" applyBorder="1"/>
    <xf numFmtId="1" fontId="0" fillId="0" borderId="2" xfId="0" applyNumberFormat="1" applyFill="1" applyBorder="1"/>
    <xf numFmtId="0" fontId="7" fillId="0" borderId="2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center" vertical="center" textRotation="30"/>
    </xf>
    <xf numFmtId="0" fontId="0" fillId="0" borderId="2" xfId="0" applyBorder="1" applyAlignment="1">
      <alignment horizontal="center" vertical="center" textRotation="30"/>
    </xf>
    <xf numFmtId="0" fontId="0" fillId="0" borderId="0" xfId="0" applyFont="1" applyBorder="1" applyAlignment="1">
      <alignment horizontal="center" vertical="center" textRotation="30"/>
    </xf>
    <xf numFmtId="0" fontId="0" fillId="0" borderId="2" xfId="0" applyFont="1" applyBorder="1" applyAlignment="1">
      <alignment horizontal="center" vertical="center" textRotation="30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43" fontId="10" fillId="0" borderId="0" xfId="7" applyFont="1" applyAlignment="1">
      <alignment horizontal="right"/>
    </xf>
    <xf numFmtId="43" fontId="0" fillId="0" borderId="0" xfId="7" applyFont="1" applyBorder="1" applyAlignment="1">
      <alignment horizontal="center"/>
    </xf>
    <xf numFmtId="43" fontId="0" fillId="0" borderId="2" xfId="7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7" fillId="14" borderId="20" xfId="0" applyFont="1" applyFill="1" applyBorder="1" applyAlignment="1">
      <alignment horizontal="center"/>
    </xf>
    <xf numFmtId="0" fontId="0" fillId="0" borderId="12" xfId="0" applyBorder="1"/>
    <xf numFmtId="0" fontId="0" fillId="0" borderId="8" xfId="0" applyBorder="1"/>
    <xf numFmtId="0" fontId="2" fillId="15" borderId="19" xfId="0" applyFont="1" applyFill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12" fillId="16" borderId="20" xfId="0" applyFont="1" applyFill="1" applyBorder="1" applyAlignment="1">
      <alignment horizontal="center"/>
    </xf>
    <xf numFmtId="0" fontId="12" fillId="15" borderId="20" xfId="0" applyFont="1" applyFill="1" applyBorder="1" applyAlignment="1">
      <alignment horizontal="center"/>
    </xf>
    <xf numFmtId="0" fontId="7" fillId="16" borderId="7" xfId="0" applyFont="1" applyFill="1" applyBorder="1" applyAlignment="1">
      <alignment horizontal="center"/>
    </xf>
    <xf numFmtId="0" fontId="0" fillId="0" borderId="3" xfId="0" applyBorder="1"/>
    <xf numFmtId="0" fontId="0" fillId="0" borderId="13" xfId="0" applyBorder="1"/>
    <xf numFmtId="0" fontId="0" fillId="17" borderId="9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18" xfId="0" applyFont="1" applyFill="1" applyBorder="1" applyAlignment="1">
      <alignment horizontal="center"/>
    </xf>
    <xf numFmtId="0" fontId="2" fillId="18" borderId="9" xfId="0" applyFont="1" applyFill="1" applyBorder="1" applyAlignment="1">
      <alignment horizontal="center"/>
    </xf>
    <xf numFmtId="168" fontId="15" fillId="20" borderId="12" xfId="0" applyNumberFormat="1" applyFont="1" applyFill="1" applyBorder="1" applyAlignment="1">
      <alignment horizontal="center"/>
    </xf>
    <xf numFmtId="168" fontId="15" fillId="21" borderId="12" xfId="0" applyNumberFormat="1" applyFont="1" applyFill="1" applyBorder="1" applyAlignment="1">
      <alignment horizontal="center"/>
    </xf>
    <xf numFmtId="168" fontId="15" fillId="22" borderId="2" xfId="0" applyNumberFormat="1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2" fillId="15" borderId="9" xfId="0" applyFont="1" applyFill="1" applyBorder="1" applyAlignment="1">
      <alignment horizontal="center"/>
    </xf>
    <xf numFmtId="0" fontId="0" fillId="14" borderId="20" xfId="0" applyFill="1" applyBorder="1" applyAlignment="1">
      <alignment horizontal="center"/>
    </xf>
    <xf numFmtId="168" fontId="13" fillId="17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8" borderId="0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4" fillId="0" borderId="5" xfId="5" applyFont="1" applyBorder="1" applyAlignment="1">
      <alignment horizontal="right"/>
    </xf>
    <xf numFmtId="0" fontId="4" fillId="0" borderId="0" xfId="5" applyFont="1" applyBorder="1" applyAlignment="1">
      <alignment horizontal="right"/>
    </xf>
    <xf numFmtId="0" fontId="9" fillId="0" borderId="2" xfId="5" applyFont="1" applyBorder="1" applyAlignment="1">
      <alignment horizontal="left"/>
    </xf>
    <xf numFmtId="0" fontId="4" fillId="0" borderId="7" xfId="5" applyFont="1" applyBorder="1" applyAlignment="1">
      <alignment horizontal="right"/>
    </xf>
    <xf numFmtId="0" fontId="4" fillId="0" borderId="3" xfId="5" applyFont="1" applyBorder="1" applyAlignment="1">
      <alignment horizontal="right"/>
    </xf>
    <xf numFmtId="0" fontId="5" fillId="0" borderId="0" xfId="5" applyFont="1" applyAlignment="1">
      <alignment horizontal="center"/>
    </xf>
    <xf numFmtId="0" fontId="4" fillId="10" borderId="6" xfId="5" applyFont="1" applyFill="1" applyBorder="1" applyAlignment="1">
      <alignment horizontal="right"/>
    </xf>
    <xf numFmtId="0" fontId="4" fillId="10" borderId="2" xfId="5" applyFont="1" applyFill="1" applyBorder="1" applyAlignment="1">
      <alignment horizontal="right"/>
    </xf>
    <xf numFmtId="0" fontId="4" fillId="0" borderId="1" xfId="5" applyFont="1" applyBorder="1" applyAlignment="1">
      <alignment horizontal="right"/>
    </xf>
    <xf numFmtId="43" fontId="4" fillId="0" borderId="0" xfId="4" applyFont="1" applyAlignment="1">
      <alignment horizontal="right"/>
    </xf>
    <xf numFmtId="2" fontId="4" fillId="0" borderId="1" xfId="5" applyNumberFormat="1" applyFont="1" applyBorder="1" applyAlignment="1">
      <alignment horizontal="right"/>
    </xf>
    <xf numFmtId="0" fontId="4" fillId="10" borderId="5" xfId="5" applyFont="1" applyFill="1" applyBorder="1" applyAlignment="1">
      <alignment horizontal="right"/>
    </xf>
    <xf numFmtId="0" fontId="4" fillId="10" borderId="0" xfId="5" applyFont="1" applyFill="1" applyBorder="1" applyAlignment="1">
      <alignment horizontal="right"/>
    </xf>
    <xf numFmtId="0" fontId="4" fillId="0" borderId="0" xfId="5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4" fillId="0" borderId="5" xfId="5" applyFont="1" applyBorder="1" applyAlignment="1">
      <alignment horizontal="center"/>
    </xf>
    <xf numFmtId="0" fontId="4" fillId="2" borderId="2" xfId="5" applyFont="1" applyFill="1" applyBorder="1" applyAlignment="1">
      <alignment horizontal="right"/>
    </xf>
    <xf numFmtId="0" fontId="4" fillId="2" borderId="4" xfId="5" applyFont="1" applyFill="1" applyBorder="1" applyAlignment="1">
      <alignment horizontal="right"/>
    </xf>
    <xf numFmtId="9" fontId="4" fillId="0" borderId="0" xfId="6" applyFont="1" applyAlignment="1">
      <alignment horizontal="right"/>
    </xf>
    <xf numFmtId="9" fontId="4" fillId="0" borderId="1" xfId="6" applyFont="1" applyBorder="1" applyAlignment="1">
      <alignment horizontal="right"/>
    </xf>
    <xf numFmtId="0" fontId="4" fillId="0" borderId="6" xfId="5" applyFont="1" applyBorder="1" applyAlignment="1">
      <alignment horizontal="right"/>
    </xf>
    <xf numFmtId="0" fontId="4" fillId="0" borderId="2" xfId="5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 applyAlignment="1">
      <alignment horizontal="center"/>
    </xf>
    <xf numFmtId="0" fontId="4" fillId="0" borderId="6" xfId="5" applyFont="1" applyBorder="1" applyAlignment="1">
      <alignment horizontal="center"/>
    </xf>
    <xf numFmtId="0" fontId="4" fillId="0" borderId="2" xfId="5" applyFont="1" applyBorder="1" applyAlignment="1">
      <alignment horizontal="center"/>
    </xf>
    <xf numFmtId="0" fontId="4" fillId="0" borderId="12" xfId="5" applyFont="1" applyBorder="1" applyAlignment="1">
      <alignment horizontal="center"/>
    </xf>
    <xf numFmtId="0" fontId="4" fillId="0" borderId="8" xfId="5" applyFont="1" applyBorder="1" applyAlignment="1">
      <alignment horizontal="center"/>
    </xf>
    <xf numFmtId="0" fontId="4" fillId="8" borderId="5" xfId="5" applyFont="1" applyFill="1" applyBorder="1" applyAlignment="1">
      <alignment horizontal="right"/>
    </xf>
    <xf numFmtId="0" fontId="4" fillId="8" borderId="0" xfId="5" applyFont="1" applyFill="1" applyBorder="1" applyAlignment="1">
      <alignment horizontal="right"/>
    </xf>
    <xf numFmtId="0" fontId="4" fillId="6" borderId="5" xfId="5" applyFont="1" applyFill="1" applyBorder="1" applyAlignment="1">
      <alignment horizontal="right"/>
    </xf>
    <xf numFmtId="0" fontId="4" fillId="6" borderId="0" xfId="5" applyFont="1" applyFill="1" applyBorder="1" applyAlignment="1">
      <alignment horizontal="right"/>
    </xf>
    <xf numFmtId="0" fontId="4" fillId="6" borderId="6" xfId="5" applyFont="1" applyFill="1" applyBorder="1" applyAlignment="1">
      <alignment horizontal="right"/>
    </xf>
    <xf numFmtId="0" fontId="4" fillId="6" borderId="2" xfId="5" applyFont="1" applyFill="1" applyBorder="1" applyAlignment="1">
      <alignment horizontal="right"/>
    </xf>
    <xf numFmtId="0" fontId="4" fillId="0" borderId="9" xfId="5" applyFont="1" applyBorder="1" applyAlignment="1">
      <alignment horizontal="right"/>
    </xf>
    <xf numFmtId="0" fontId="4" fillId="0" borderId="12" xfId="5" applyFont="1" applyBorder="1" applyAlignment="1">
      <alignment horizontal="right"/>
    </xf>
    <xf numFmtId="0" fontId="4" fillId="0" borderId="9" xfId="5" applyFont="1" applyFill="1" applyBorder="1" applyAlignment="1">
      <alignment horizontal="center"/>
    </xf>
    <xf numFmtId="0" fontId="4" fillId="0" borderId="12" xfId="5" applyFont="1" applyFill="1" applyBorder="1" applyAlignment="1">
      <alignment horizontal="center"/>
    </xf>
    <xf numFmtId="0" fontId="4" fillId="5" borderId="6" xfId="5" applyFont="1" applyFill="1" applyBorder="1" applyAlignment="1">
      <alignment horizontal="right"/>
    </xf>
    <xf numFmtId="0" fontId="4" fillId="5" borderId="2" xfId="5" applyFont="1" applyFill="1" applyBorder="1" applyAlignment="1">
      <alignment horizontal="right"/>
    </xf>
    <xf numFmtId="0" fontId="4" fillId="0" borderId="7" xfId="5" applyFont="1" applyFill="1" applyBorder="1" applyAlignment="1">
      <alignment horizontal="right"/>
    </xf>
    <xf numFmtId="0" fontId="4" fillId="0" borderId="3" xfId="5" applyFont="1" applyFill="1" applyBorder="1" applyAlignment="1">
      <alignment horizontal="right"/>
    </xf>
    <xf numFmtId="0" fontId="4" fillId="5" borderId="5" xfId="5" applyFont="1" applyFill="1" applyBorder="1" applyAlignment="1">
      <alignment horizontal="right"/>
    </xf>
    <xf numFmtId="0" fontId="4" fillId="5" borderId="0" xfId="5" applyFont="1" applyFill="1" applyBorder="1" applyAlignment="1">
      <alignment horizontal="right"/>
    </xf>
  </cellXfs>
  <cellStyles count="8">
    <cellStyle name="Milliers" xfId="7" builtinId="3"/>
    <cellStyle name="Milliers 2" xfId="4"/>
    <cellStyle name="Normal" xfId="0" builtinId="0"/>
    <cellStyle name="Normal 2" xfId="2"/>
    <cellStyle name="Normal 2 2" xfId="5"/>
    <cellStyle name="Pourcentage" xfId="1" builtinId="5"/>
    <cellStyle name="Pourcentage 2" xfId="3"/>
    <cellStyle name="Pourcentage 2 2" xfId="6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/>
  <dimension ref="A2:X56"/>
  <sheetViews>
    <sheetView zoomScaleNormal="100" workbookViewId="0">
      <selection activeCell="B34" sqref="B34"/>
    </sheetView>
  </sheetViews>
  <sheetFormatPr baseColWidth="10" defaultRowHeight="12.75"/>
  <cols>
    <col min="1" max="1" width="15" bestFit="1" customWidth="1"/>
    <col min="2" max="2" width="16.42578125" bestFit="1" customWidth="1"/>
    <col min="3" max="3" width="16.42578125" customWidth="1"/>
    <col min="4" max="4" width="4.28515625" customWidth="1"/>
    <col min="5" max="5" width="10" customWidth="1"/>
    <col min="6" max="6" width="15.7109375" customWidth="1"/>
    <col min="7" max="7" width="12.85546875" customWidth="1"/>
    <col min="8" max="8" width="15.5703125" customWidth="1"/>
    <col min="9" max="9" width="4.28515625" customWidth="1"/>
    <col min="10" max="10" width="15.7109375" bestFit="1" customWidth="1"/>
    <col min="11" max="23" width="10" customWidth="1"/>
  </cols>
  <sheetData>
    <row r="2" spans="1:24" ht="12.75" customHeight="1">
      <c r="J2" s="125" t="s">
        <v>557</v>
      </c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spans="1:24">
      <c r="K3" s="125" t="s">
        <v>533</v>
      </c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67"/>
    </row>
    <row r="4" spans="1:24">
      <c r="F4" s="125" t="s">
        <v>529</v>
      </c>
      <c r="G4" s="125"/>
      <c r="H4" s="125"/>
      <c r="K4" s="127" t="s">
        <v>6</v>
      </c>
      <c r="L4" s="127" t="s">
        <v>7</v>
      </c>
      <c r="M4" s="127" t="s">
        <v>8</v>
      </c>
      <c r="N4" s="127" t="s">
        <v>9</v>
      </c>
      <c r="O4" s="127" t="s">
        <v>11</v>
      </c>
      <c r="P4" s="127" t="s">
        <v>10</v>
      </c>
      <c r="Q4" s="127" t="s">
        <v>12</v>
      </c>
      <c r="R4" s="127" t="s">
        <v>532</v>
      </c>
      <c r="S4" s="127" t="s">
        <v>13</v>
      </c>
      <c r="T4" s="129" t="s">
        <v>14</v>
      </c>
      <c r="U4" s="127" t="s">
        <v>15</v>
      </c>
      <c r="V4" s="127" t="s">
        <v>1</v>
      </c>
      <c r="W4" s="127" t="s">
        <v>16</v>
      </c>
    </row>
    <row r="5" spans="1:24">
      <c r="A5" s="125" t="s">
        <v>531</v>
      </c>
      <c r="B5" s="125"/>
      <c r="C5" s="84" t="s">
        <v>542</v>
      </c>
      <c r="E5" s="43" t="s">
        <v>506</v>
      </c>
      <c r="F5" s="43" t="s">
        <v>530</v>
      </c>
      <c r="G5" s="43" t="s">
        <v>523</v>
      </c>
      <c r="H5" s="43" t="s">
        <v>524</v>
      </c>
      <c r="K5" s="127"/>
      <c r="L5" s="127"/>
      <c r="M5" s="127"/>
      <c r="N5" s="127"/>
      <c r="O5" s="127"/>
      <c r="P5" s="127"/>
      <c r="Q5" s="127"/>
      <c r="R5" s="127"/>
      <c r="S5" s="127"/>
      <c r="T5" s="129"/>
      <c r="U5" s="127"/>
      <c r="V5" s="127"/>
      <c r="W5" s="127"/>
    </row>
    <row r="6" spans="1:24">
      <c r="A6" t="s">
        <v>3</v>
      </c>
      <c r="B6" s="1">
        <v>12526</v>
      </c>
      <c r="C6" s="87">
        <f>(217+SUM(K7:W7)+L41)*IF(W43,1+(V44/100),1)</f>
        <v>12525.8</v>
      </c>
      <c r="E6" s="1">
        <v>1</v>
      </c>
      <c r="F6" s="69">
        <f>(((B23+B24)/2)*(B22*(1+B21/100))*((100+(B19*(B20/100)))/100)*(1+((B6+E6)/100))*additiff)-(((B23+B24)/2)*(B22*(1+B21/100))*((100+(B19*(B20/100)))/100)*(1+(B6/100))*additiff)</f>
        <v>135.63567874021828</v>
      </c>
      <c r="G6" s="72">
        <f>(1-((1-((B6+E6)+B7+B11)*(1+B12/100)/(50*70+((B6+E6)+B7+B11)*(1+B12/100)))*((1-B37/(5*70+B37))*(1-B18/6*5/100)*(1-B14/100)*(1-B15/3/100)*(1-B16/3/100)*(1-B17/3/100))))-(1-((1-(B6+B7+B11)*(1+B12/100)/(50*70+(B6+B7+B11)*(1+B12/100)))*((1-B37/(5*70+B37))*(1-B18/6*5/100)*(1-B14/100)*(1-B15/3/100)*(1-B16/3/100)*(1-B17/3/100))))</f>
        <v>1.3534454511576754E-6</v>
      </c>
      <c r="H6" s="69">
        <f>$B$38*(1/(1-($B$39+G6)))-$B$38*(1/(1-$B$39))</f>
        <v>1243.2783143557608</v>
      </c>
      <c r="K6" s="128"/>
      <c r="L6" s="128"/>
      <c r="M6" s="128"/>
      <c r="N6" s="128"/>
      <c r="O6" s="128"/>
      <c r="P6" s="128"/>
      <c r="Q6" s="128"/>
      <c r="R6" s="128"/>
      <c r="S6" s="128"/>
      <c r="T6" s="130"/>
      <c r="U6" s="128"/>
      <c r="V6" s="128"/>
      <c r="W6" s="128"/>
    </row>
    <row r="7" spans="1:24">
      <c r="A7" t="s">
        <v>509</v>
      </c>
      <c r="B7" s="1">
        <v>77</v>
      </c>
      <c r="C7">
        <f>77+SUM(K8:W8)</f>
        <v>77</v>
      </c>
      <c r="E7" s="1">
        <v>1</v>
      </c>
      <c r="G7" s="72">
        <f>(1-((1-(B6+(B7+E7)+B11)*(1+B12/100)/(50*70+(B6+(B7+E7)+B11)*(1+B12/100)))*((1-B37/(5*70+B37))*(1-B18/6*5/100)*(1-B14/100)*(1-B15/3/100)*(1-B16/3/100)*(1-B17/3/100))))-(1-((1-(B6+B7+B11)*(1+B12/100)/(50*70+(B6+B7+B11)*(1+B12/100)))*((1-B37/(5*70+B37))*(1-B18/6*5/100)*(1-B14/100)*(1-B15/3/100)*(1-B16/3/100)*(1-B17/3/100))))</f>
        <v>1.3534454511576754E-6</v>
      </c>
      <c r="H7" s="69">
        <f>$B$38*(1/(1-($B$39+G7)))-$B$38*(1/(1-$B$39))</f>
        <v>1243.2783143557608</v>
      </c>
      <c r="J7" s="64" t="s">
        <v>3</v>
      </c>
      <c r="K7">
        <v>918</v>
      </c>
      <c r="L7">
        <v>499</v>
      </c>
      <c r="M7">
        <v>1310</v>
      </c>
      <c r="N7">
        <v>877</v>
      </c>
      <c r="O7">
        <v>611</v>
      </c>
      <c r="P7">
        <v>584</v>
      </c>
      <c r="Q7">
        <v>1057</v>
      </c>
      <c r="R7">
        <v>579</v>
      </c>
      <c r="S7">
        <v>706</v>
      </c>
      <c r="U7">
        <v>453</v>
      </c>
      <c r="V7">
        <v>1380</v>
      </c>
      <c r="W7">
        <v>936</v>
      </c>
    </row>
    <row r="8" spans="1:24">
      <c r="A8" t="s">
        <v>510</v>
      </c>
      <c r="B8" s="1">
        <v>77</v>
      </c>
      <c r="C8">
        <f>77+SUM(K9:W9)</f>
        <v>77</v>
      </c>
      <c r="E8" s="1">
        <v>1</v>
      </c>
      <c r="G8" s="72">
        <f>(1-((1-(B6+B7+B11)*(1+B12/100)/(50*70+(B6+B7+B11)*(1+B12/100)))*((1-(B37+E8/100)/(5*70+(B37+E8/100)))*(1-B18/6*5/100)*(1-B14/100)*(1-B15/3/100)*(1-B16/3/100)*(1-B17/3/100))))-(1-((1-(B6+B7+B11)*(1+B12/100)/(50*70+(B6+B7+B11)*(1+B12/100)))*((1-B37/(5*70+B37))*(1-B18/6*5/100)*(1-B14/100)*(1-B15/3/100)*(1-B16/3/100)*(1-B17/3/100))))</f>
        <v>2.8727852163790146E-7</v>
      </c>
      <c r="H8" s="69">
        <f>$B$38*(1/(1-($B$39+G8)))-$B$38*(1/(1-$B$39))</f>
        <v>263.88537571951747</v>
      </c>
      <c r="J8" s="64" t="s">
        <v>509</v>
      </c>
    </row>
    <row r="9" spans="1:24">
      <c r="A9" t="s">
        <v>511</v>
      </c>
      <c r="B9" s="1">
        <v>5902</v>
      </c>
      <c r="C9">
        <f>147+SUM(K10:W10)+L43</f>
        <v>5905</v>
      </c>
      <c r="E9" s="1">
        <v>1</v>
      </c>
      <c r="G9" s="72"/>
      <c r="H9" s="69">
        <f>((36+4*70)+(100*($B$9+E9))*(1+($B$10/100)))*(1/(1-$B$39))-$B$38*(1/(1-$B$39))</f>
        <v>4666.8073386885226</v>
      </c>
      <c r="J9" s="64" t="s">
        <v>510</v>
      </c>
    </row>
    <row r="10" spans="1:24">
      <c r="A10" t="s">
        <v>512</v>
      </c>
      <c r="B10" s="1">
        <v>39.99</v>
      </c>
      <c r="C10">
        <f>SUM(K11:W11)+P41</f>
        <v>40</v>
      </c>
      <c r="E10" s="1">
        <v>1</v>
      </c>
      <c r="G10" s="72"/>
      <c r="H10" s="69">
        <f>((36+4*70)+(100*$B$9)*(1+(($B$10+E10)/100)))*(1/(1-$B$39))-$B$38*(1/(1-$B$39))</f>
        <v>196753.31747226417</v>
      </c>
      <c r="J10" s="64" t="s">
        <v>511</v>
      </c>
      <c r="K10">
        <v>909</v>
      </c>
      <c r="L10">
        <v>493</v>
      </c>
      <c r="M10">
        <v>429</v>
      </c>
      <c r="N10">
        <v>883</v>
      </c>
      <c r="O10">
        <v>556</v>
      </c>
      <c r="P10">
        <v>590</v>
      </c>
      <c r="Q10">
        <v>471</v>
      </c>
      <c r="R10">
        <v>599</v>
      </c>
      <c r="W10">
        <v>828</v>
      </c>
    </row>
    <row r="11" spans="1:24">
      <c r="A11" t="s">
        <v>526</v>
      </c>
      <c r="B11" s="87">
        <f>B30/(1+B12/100)-B6-B7</f>
        <v>6759.4000000000015</v>
      </c>
      <c r="C11" s="87">
        <f>SUM(K12:W12)</f>
        <v>6760</v>
      </c>
      <c r="E11" s="1">
        <v>1</v>
      </c>
      <c r="G11" s="72">
        <f>(1-((1-(B6+B7+(B11+E11))*(1+B12/100)/(50*70+(B6+B7+(B11+E11))*(1+B12/100)))*((1-B37/(5*70+B37))*(1-B18/6*5/100)*(1-B14/100)*(1-B15/3/100)*(1-B16/3/100)*(1-B17/3/100))))-(1-((1-(B6+B7+B11)*(1+B12/100)/(50*70+(B6+B7+B11)*(1+B12/100)))*((1-B37/(5*70+B37))*(1-B18/6*5/100)*(1-B14/100)*(1-B15/3/100)*(1-B16/3/100)*(1-B17/3/100))))</f>
        <v>1.3534454511576754E-6</v>
      </c>
      <c r="H11" s="69">
        <f>$B$38*(1/(1-($B$39+G11)))-$B$38*(1/(1-$B$39))</f>
        <v>1243.2783143557608</v>
      </c>
      <c r="J11" s="64" t="s">
        <v>512</v>
      </c>
      <c r="M11">
        <v>15</v>
      </c>
    </row>
    <row r="12" spans="1:24">
      <c r="A12" t="s">
        <v>527</v>
      </c>
      <c r="B12" s="1">
        <v>25</v>
      </c>
      <c r="C12">
        <f>P43</f>
        <v>25</v>
      </c>
      <c r="E12" s="1">
        <v>1</v>
      </c>
      <c r="G12" s="72">
        <f>(1-((1-(B6+B7+B11)*(1+(B12+E12)/100)/(50*70+(B6+B7+B11)*(1+(B12+E12)/100)))*((1-B37/(5*70+B37))*(1-B18/6*5/100)*(1-B14/100)*(1-B15/3/100)*(1-B16/3/100)*(1-B17/3/100))))-(1-((1-(B6+B7+B11)*(1+B12/100)/(50*70+(B6+B7+B11)*(1+B12/100)))*((1-B37/(5*70+B37))*(1-B18/6*5/100)*(1-B14/100)*(1-B15/3/100)*(1-B16/3/100)*(1-B17/3/100))))</f>
        <v>2.0820189608350415E-4</v>
      </c>
      <c r="H12" s="69">
        <f>$B$38*(1/(1-($B$39+G12)))-$B$38*(1/(1-$B$39))</f>
        <v>192582.81628620252</v>
      </c>
      <c r="J12" s="64" t="s">
        <v>526</v>
      </c>
      <c r="K12">
        <v>708</v>
      </c>
      <c r="L12">
        <v>655</v>
      </c>
      <c r="M12">
        <v>678</v>
      </c>
      <c r="N12">
        <v>515</v>
      </c>
      <c r="O12">
        <v>399</v>
      </c>
      <c r="P12">
        <v>602</v>
      </c>
      <c r="Q12">
        <v>725</v>
      </c>
      <c r="R12">
        <v>550</v>
      </c>
      <c r="W12">
        <v>1928</v>
      </c>
    </row>
    <row r="13" spans="1:24">
      <c r="A13" t="s">
        <v>21</v>
      </c>
      <c r="B13" s="1">
        <v>20</v>
      </c>
      <c r="C13">
        <f>SUM(K14:W14)</f>
        <v>20</v>
      </c>
      <c r="E13" s="1">
        <v>1</v>
      </c>
      <c r="G13" s="72"/>
      <c r="H13" s="69"/>
      <c r="J13" s="64" t="s">
        <v>527</v>
      </c>
    </row>
    <row r="14" spans="1:24">
      <c r="A14" t="s">
        <v>528</v>
      </c>
      <c r="B14" s="1">
        <v>0</v>
      </c>
      <c r="C14">
        <f>SUM(K15:W15)</f>
        <v>0</v>
      </c>
      <c r="E14" s="1">
        <v>10</v>
      </c>
      <c r="G14" s="72">
        <f>(1-((1-(B6+B7+B11)*(1+B12/100)/(50*70+(B6+B7+B11)*(1+B12/100)))*((1-B37/(5*70+B37))*(1-B18/6*5/100)*(1-(B14+E14)/100)*(1-B15/3/100)*(1-B16/3/100)*(1-B17/3/100))))-(1-((1-(B6+B7+B11)*(1+B12/100)/(50*70+(B6+B7+B11)*(1+B12/100)))*((1-B37/(5*70+B37))*(1-B18/6*5/100)*(1-B14/100)*(1-B15/3/100)*(1-B16/3/100)*(1-B17/3/100))))</f>
        <v>2.9996952914563835E-3</v>
      </c>
      <c r="H14" s="69">
        <f>$B$38*(1/(1-($B$39+G14)))-$B$38*(1/(1-$B$39))</f>
        <v>3061559.0351388827</v>
      </c>
      <c r="J14" s="64" t="s">
        <v>21</v>
      </c>
      <c r="W14">
        <v>20</v>
      </c>
    </row>
    <row r="15" spans="1:24">
      <c r="A15" t="s">
        <v>514</v>
      </c>
      <c r="B15" s="1">
        <v>0</v>
      </c>
      <c r="C15">
        <f>SUM(K16:W16)</f>
        <v>0</v>
      </c>
      <c r="E15" s="1">
        <v>1</v>
      </c>
      <c r="G15" s="72">
        <f>(1-((1-(B6+B7+B11)*(1+B12/100)/(50*70+(B6+B7+B11)*(1+B12/100)))*((1-B37/(5*70+B37))*(1-B18/6*5/100)*(1-B14/100)*(1-(B15+E15)/3/100)*(1-B16/3/100)*(1-B17/3/100))))-(1-((1-(B6+B7+B11)*(1+B12/100)/(50*70+(B6+B7+B11)*(1+B12/100)))*((1-B37/(5*70+B37))*(1-B18/6*5/100)*(1-B14/100)*(1-B15/3/100)*(1-B16/3/100)*(1-B17/3/100))))</f>
        <v>9.9989843048486904E-5</v>
      </c>
      <c r="H15" s="69">
        <f>$B$38*(1/(1-($B$39+G15)))-$B$38*(1/(1-$B$39))</f>
        <v>92153.950890410691</v>
      </c>
      <c r="J15" s="64" t="s">
        <v>528</v>
      </c>
    </row>
    <row r="16" spans="1:24">
      <c r="A16" t="s">
        <v>515</v>
      </c>
      <c r="B16" s="1">
        <v>0</v>
      </c>
      <c r="C16">
        <f t="shared" ref="C16:C17" si="0">SUM(K17:W17)</f>
        <v>0</v>
      </c>
      <c r="E16" s="1">
        <v>1</v>
      </c>
      <c r="G16" s="72">
        <f>(1-((1-(B6+B7+B11)*(1+B12/100)/(50*70+(B6+B7+B11)*(1+B12/100)))*((1-B37/(5*70+B37))*(1-B18/6*5/100)*(1-B14/100)*(1-B15/3/100)*(1-(B16+E16)/3/100)*(1-B17/3/100))))-(1-((1-(B6+B7+B11)*(1+B12/100)/(50*70+(B6+B7+B11)*(1+B12/100)))*((1-B37/(5*70+B37))*(1-B18/6*5/100)*(1-B14/100)*(1-B15/3/100)*(1-B16/3/100)*(1-B17/3/100))))</f>
        <v>9.9989843048486904E-5</v>
      </c>
      <c r="H16" s="73">
        <f>$B$38*(1/(1-($B$39+G16)))-$B$38*(1/(1-$B$39))</f>
        <v>92153.950890410691</v>
      </c>
      <c r="J16" s="64" t="s">
        <v>514</v>
      </c>
    </row>
    <row r="17" spans="1:23">
      <c r="A17" t="s">
        <v>516</v>
      </c>
      <c r="B17" s="1">
        <v>0</v>
      </c>
      <c r="C17">
        <f t="shared" si="0"/>
        <v>0</v>
      </c>
      <c r="E17" s="1">
        <v>1</v>
      </c>
      <c r="G17" s="72">
        <f>(1-((1-(B6+B7+B11)*(1+B12/100)/(50*70+(B6+B7+B11)*(1+B12/100)))*((1-B37/(5*70+B37))*(1-B18/6*5/100)*(1-B14/100)*(1-B15/3/100)*(1-B16/3/100)*(1-(B17+E17)/3/100))))-(1-((1-(B6+B7+B11)*(1+B12/100)/(50*70+(B6+B7+B11)*(1+B12/100)))*((1-B37/(5*70+B37))*(1-B18/6*5/100)*(1-B14/100)*(1-B15/3/100)*(1-B16/3/100)*(1-B17/3/100))))</f>
        <v>9.9989843048486904E-5</v>
      </c>
      <c r="H17" s="69">
        <f>$B$38*(1/(1-($B$39+G17)))-$B$38*(1/(1-$B$39))</f>
        <v>92153.950890410691</v>
      </c>
      <c r="J17" s="64" t="s">
        <v>515</v>
      </c>
    </row>
    <row r="18" spans="1:23">
      <c r="A18" t="s">
        <v>517</v>
      </c>
      <c r="B18" s="1">
        <v>35</v>
      </c>
      <c r="C18">
        <f>SUM(K19:W19)+IF(W46,10+V46*0.5,"0")+IF(W45,"20","0")+IF(V42="actif - profession de foi","20","0")</f>
        <v>35</v>
      </c>
      <c r="E18" s="1">
        <v>1</v>
      </c>
      <c r="G18" s="72">
        <f>(1-((1-(B6+B7+B11)*(1+B12/100)/(50*70+(B6+B7+B11)*(1+B12/100)))*((1-B37/(5*70+B37))*(1-(B18+E18)/6*5/100)*(1-B14/100)*(1-B15/3/100)*(1-B16/3/100)*(1-B17/3/100))))-(1-((1-(B6+B7+B11)*(1+B12/100)/(50*70+(B6+B7+B11)*(1+B12/100)))*((1-B37/(5*70+B37))*(1-B18/6*5/100)*(1-B14/100)*(1-B15/3/100)*(1-B16/3/100)*(1-B17/3/100))))</f>
        <v>3.5290532840659417E-4</v>
      </c>
      <c r="H18" s="69">
        <f>$B$38*(1/(1-($B$39+G18)))-$B$38*(1/(1-$B$39))</f>
        <v>328024.18233627453</v>
      </c>
      <c r="J18" s="64" t="s">
        <v>516</v>
      </c>
    </row>
    <row r="19" spans="1:23">
      <c r="A19" t="s">
        <v>518</v>
      </c>
      <c r="B19" s="1">
        <v>61</v>
      </c>
      <c r="C19">
        <f>SUM(K20:W20)+5+N43</f>
        <v>61</v>
      </c>
      <c r="E19" s="1">
        <v>1</v>
      </c>
      <c r="F19" s="69">
        <f>(((B23+B24)/2)*(B22*(1+B21/100))*((100+((B19+E19)*(B20/100)))/100)*(1+(B6/100))*additiff)-(((B23+B24)/2)*(B22*(1+B21/100))*((100+(B19*(B20/100)))/100)*(1+(B6/100))*additiff)</f>
        <v>20466.339968546759</v>
      </c>
      <c r="G19" s="72"/>
      <c r="H19" s="69"/>
      <c r="J19" s="64" t="s">
        <v>517</v>
      </c>
    </row>
    <row r="20" spans="1:23">
      <c r="A20" t="s">
        <v>519</v>
      </c>
      <c r="B20" s="1">
        <v>441</v>
      </c>
      <c r="C20">
        <f>SUM(K21:W21)+50+N45</f>
        <v>441</v>
      </c>
      <c r="E20" s="1">
        <v>1</v>
      </c>
      <c r="F20" s="69">
        <f>(((B23+B24)/2)*(B22*(1+B21/100))*((100+(B19*((B20+E20)/100)))/100)*(1+(B6/100))*additiff)-(((B23+B24)/2)*(B22*(1+B21/100))*((100+(B19*(B20/100)))/100)*(1+(B6/100))*additiff)</f>
        <v>2830.9449843117036</v>
      </c>
      <c r="G20" s="72"/>
      <c r="H20" s="69"/>
      <c r="J20" s="64" t="s">
        <v>518</v>
      </c>
      <c r="K20">
        <v>6</v>
      </c>
      <c r="N20">
        <v>10</v>
      </c>
      <c r="O20">
        <v>5.5</v>
      </c>
      <c r="S20">
        <v>9.5</v>
      </c>
      <c r="T20">
        <v>5.5</v>
      </c>
      <c r="U20">
        <v>4.5</v>
      </c>
      <c r="W20">
        <v>10</v>
      </c>
    </row>
    <row r="21" spans="1:23">
      <c r="A21" t="s">
        <v>520</v>
      </c>
      <c r="B21" s="1">
        <v>14.2</v>
      </c>
      <c r="C21">
        <f>SUM(K22:W22)+N41+IF(W39,V39,"0")+IF(V40="passif","8",IF(V40="actif","15",IF(V40="actif - critique","15")))</f>
        <v>14.2</v>
      </c>
      <c r="E21" s="1">
        <v>1</v>
      </c>
      <c r="F21" s="69">
        <f>(((B23+B24)/2)*(B22*(1+(B21+E21)/100))*((100+(B19*(B20/100)))/100)*(1+(B6/100))*additiff)-(((B23+B24)/2)*(B22*(1+B21/100))*((100+(B19*(B20/100)))/100)*(1+(B6/100))*additiff)</f>
        <v>14995.937651241198</v>
      </c>
      <c r="G21" s="72"/>
      <c r="H21" s="69"/>
      <c r="J21" s="64" t="s">
        <v>519</v>
      </c>
      <c r="N21">
        <v>45</v>
      </c>
      <c r="S21">
        <v>88</v>
      </c>
      <c r="T21">
        <v>34</v>
      </c>
      <c r="U21">
        <v>49</v>
      </c>
      <c r="V21">
        <v>125</v>
      </c>
    </row>
    <row r="22" spans="1:23">
      <c r="A22" t="s">
        <v>20</v>
      </c>
      <c r="B22" s="1">
        <v>1.1499999999999999</v>
      </c>
      <c r="C22">
        <f>V23</f>
        <v>1.1499999999999999</v>
      </c>
      <c r="E22" s="1">
        <v>0.01</v>
      </c>
      <c r="F22" s="69">
        <f>(((B23+B24)/2)*((B22+E22)*(1+B21/100))*((100+(B19*(B20/100)))/100)*(1+(B6/100))*additiff)-(((B23+B24)/2)*(B22*(1+B21/100))*((100+(B19*(B20/100)))/100)*(1+(B6/100))*additiff)</f>
        <v>14891.618084972026</v>
      </c>
      <c r="G22" s="72"/>
      <c r="H22" s="69"/>
      <c r="J22" s="64" t="s">
        <v>520</v>
      </c>
    </row>
    <row r="23" spans="1:23">
      <c r="A23" t="s">
        <v>17</v>
      </c>
      <c r="B23" s="1">
        <v>3189</v>
      </c>
      <c r="C23">
        <f>SUM(K24:W24)</f>
        <v>3189</v>
      </c>
      <c r="E23" s="1">
        <v>1</v>
      </c>
      <c r="F23" s="69">
        <f>((((B23+E23)+B24)/2)*(B22*(1+B21/100))*((100+(B19*(B20/100)))/100)*(1+(B6/100))*additiff)-(((B23+B24)/2)*(B22*(1+B21/100))*((100+(B19*(B20/100)))/100)*(1+(B6/100))*additiff)</f>
        <v>244.7529054984916</v>
      </c>
      <c r="G23" s="72"/>
      <c r="H23" s="69"/>
      <c r="J23" s="64" t="s">
        <v>20</v>
      </c>
      <c r="V23">
        <v>1.1499999999999999</v>
      </c>
    </row>
    <row r="24" spans="1:23">
      <c r="A24" t="s">
        <v>18</v>
      </c>
      <c r="B24" s="1">
        <v>3808</v>
      </c>
      <c r="C24">
        <f>SUM(K25:W25)</f>
        <v>3808</v>
      </c>
      <c r="E24" s="1">
        <v>1</v>
      </c>
      <c r="F24" s="69">
        <f>(((B23+(B24+E24))/2)*(B22*(1+B21/100))*((100+(B19*(B20/100)))/100)*(1+(B6/100))*additiff)-(((B23+B24)/2)*(B22*(1+B21/100))*((100+(B19*(B20/100)))/100)*(1+(B6/100))*additiff)</f>
        <v>244.7529054984916</v>
      </c>
      <c r="G24" s="72"/>
      <c r="H24" s="69"/>
      <c r="J24" s="64" t="s">
        <v>17</v>
      </c>
      <c r="V24">
        <v>3189</v>
      </c>
    </row>
    <row r="25" spans="1:23">
      <c r="A25" t="s">
        <v>5</v>
      </c>
      <c r="B25" s="1">
        <v>14</v>
      </c>
      <c r="C25">
        <f>SUM(K26:W26)</f>
        <v>14</v>
      </c>
      <c r="G25" s="72"/>
      <c r="H25" s="69"/>
      <c r="J25" s="64" t="s">
        <v>18</v>
      </c>
      <c r="V25">
        <v>3808</v>
      </c>
    </row>
    <row r="26" spans="1:23">
      <c r="A26" t="s">
        <v>597</v>
      </c>
      <c r="B26" s="1"/>
      <c r="C26">
        <f>SUM(K27:W27)</f>
        <v>32</v>
      </c>
      <c r="F26" s="69"/>
      <c r="J26" s="64" t="s">
        <v>5</v>
      </c>
      <c r="T26">
        <v>14</v>
      </c>
    </row>
    <row r="27" spans="1:23">
      <c r="A27" t="s">
        <v>598</v>
      </c>
      <c r="B27" s="1"/>
      <c r="C27">
        <f>SUM(K27:W27)</f>
        <v>32</v>
      </c>
      <c r="F27" s="69"/>
      <c r="J27" s="64" t="s">
        <v>521</v>
      </c>
      <c r="O27">
        <v>18</v>
      </c>
      <c r="P27">
        <v>14</v>
      </c>
    </row>
    <row r="28" spans="1:23">
      <c r="A28" t="s">
        <v>599</v>
      </c>
      <c r="B28" s="1">
        <v>32</v>
      </c>
      <c r="C28">
        <f>SUM(K27:W27)</f>
        <v>32</v>
      </c>
      <c r="F28" s="69"/>
      <c r="J28" s="64" t="s">
        <v>525</v>
      </c>
    </row>
    <row r="29" spans="1:23">
      <c r="A29" s="113" t="s">
        <v>600</v>
      </c>
      <c r="B29" s="74"/>
      <c r="C29" s="43">
        <f>SUM(K27:W27)</f>
        <v>32</v>
      </c>
      <c r="E29" s="113"/>
      <c r="F29" s="75"/>
      <c r="G29" s="76"/>
      <c r="H29" s="75"/>
      <c r="J29" s="86" t="s">
        <v>543</v>
      </c>
      <c r="Q29">
        <v>154</v>
      </c>
      <c r="T29">
        <v>141</v>
      </c>
    </row>
    <row r="30" spans="1:23">
      <c r="A30" t="s">
        <v>525</v>
      </c>
      <c r="B30" s="1">
        <v>24203</v>
      </c>
      <c r="C30" s="87">
        <f>(C11+C6+C7+IF(V41="actif - monolithe","7000","0"))*(1+C12/100)</f>
        <v>24203.5</v>
      </c>
      <c r="G30" s="72"/>
      <c r="H30" s="69"/>
      <c r="J30" s="86" t="s">
        <v>544</v>
      </c>
      <c r="M30">
        <v>151</v>
      </c>
      <c r="O30">
        <v>180</v>
      </c>
    </row>
    <row r="31" spans="1:23">
      <c r="A31" s="86" t="s">
        <v>543</v>
      </c>
      <c r="B31" s="1">
        <v>768</v>
      </c>
      <c r="C31" s="87">
        <f>SUM(K29:W29)+SUM(K35:W35)+P45+C8/10+IF(V41="passif","140",IF(V41="actif","490",IF(V41="actif - monolithe","490","0")))</f>
        <v>767.7</v>
      </c>
      <c r="E31" s="121"/>
      <c r="J31" s="86" t="s">
        <v>545</v>
      </c>
    </row>
    <row r="32" spans="1:23">
      <c r="A32" s="86" t="s">
        <v>544</v>
      </c>
      <c r="B32" s="1">
        <v>804</v>
      </c>
      <c r="C32" s="87">
        <f>SUM(K30:W30)+SUM(K35:W35)+P45+C8/10+IF(V41="passif","140",IF(V41="actif","490",IF(V41="actif - monolithe","490","0")))</f>
        <v>803.7</v>
      </c>
      <c r="E32" s="121"/>
      <c r="J32" s="86" t="s">
        <v>546</v>
      </c>
      <c r="N32">
        <v>183</v>
      </c>
      <c r="P32">
        <v>193</v>
      </c>
    </row>
    <row r="33" spans="1:23">
      <c r="A33" s="86" t="s">
        <v>545</v>
      </c>
      <c r="B33" s="1">
        <v>473</v>
      </c>
      <c r="C33" s="87">
        <f>SUM(K31:W31)+SUM(K35:W35)+P45+C8/10+IF(V41="passif","140",IF(V41="actif","490",IF(V41="actif - monolithe","490","0")))</f>
        <v>472.7</v>
      </c>
      <c r="E33" s="121"/>
      <c r="J33" s="86" t="s">
        <v>547</v>
      </c>
    </row>
    <row r="34" spans="1:23">
      <c r="A34" s="86" t="s">
        <v>546</v>
      </c>
      <c r="B34" s="1">
        <v>849</v>
      </c>
      <c r="C34" s="87">
        <f>SUM(K32:W32)+SUM(K35:W35)+P45+C8/10+IF(V41="passif","140",IF(V41="actif","490",IF(V41="actif - monolithe","490","0")))</f>
        <v>848.7</v>
      </c>
      <c r="E34" s="121"/>
      <c r="J34" s="86" t="s">
        <v>548</v>
      </c>
      <c r="R34">
        <v>174</v>
      </c>
      <c r="U34">
        <v>151</v>
      </c>
    </row>
    <row r="35" spans="1:23">
      <c r="A35" s="86" t="s">
        <v>547</v>
      </c>
      <c r="B35" s="1">
        <v>473</v>
      </c>
      <c r="C35" s="87">
        <f>SUM(K33:W33)+SUM(K35:W35)+P45+C8/10+IF(V41="passif","140",IF(V41="actif","490",IF(V41="actif - monolithe","490","0")))</f>
        <v>472.7</v>
      </c>
      <c r="E35" s="121"/>
      <c r="J35" s="43" t="s">
        <v>513</v>
      </c>
      <c r="K35" s="43"/>
      <c r="L35" s="43">
        <v>95</v>
      </c>
      <c r="M35" s="43"/>
      <c r="N35" s="43"/>
      <c r="O35" s="43"/>
      <c r="P35" s="43">
        <v>120</v>
      </c>
      <c r="Q35" s="43"/>
      <c r="R35" s="43"/>
      <c r="S35" s="43"/>
      <c r="T35" s="43"/>
      <c r="U35" s="43"/>
      <c r="V35" s="43"/>
      <c r="W35" s="43"/>
    </row>
    <row r="36" spans="1:23">
      <c r="A36" s="86" t="s">
        <v>548</v>
      </c>
      <c r="B36" s="1">
        <v>798</v>
      </c>
      <c r="C36" s="87">
        <f>SUM(K34:W34)+SUM(K35:W35)+P45+C8/10+IF(V41="passif","140",IF(V41="actif","490",IF(V41="actif - monolithe","490","0")))</f>
        <v>797.7</v>
      </c>
      <c r="E36" s="121"/>
    </row>
    <row r="37" spans="1:23">
      <c r="A37" s="43" t="s">
        <v>513</v>
      </c>
      <c r="B37" s="124">
        <f>SUM(B31:B36)/6</f>
        <v>694.16666666666663</v>
      </c>
      <c r="C37" s="89">
        <f>SUM(C31:C36)/6</f>
        <v>693.86666666666667</v>
      </c>
      <c r="E37" s="77">
        <v>1</v>
      </c>
      <c r="F37" s="43"/>
      <c r="G37" s="76">
        <f>(1-((1-(B6+B7+B11)*(1+B12/100)/(50*70+(B6+B7+B11)*(1+B12/100)))*((1-(B37+E37)/(5*70+(B37+E37)))*(1-B18/6*5/100)*(1-B14/100)*(1-B15/3/100)*(1-B16/3/100)*(1-B17/3/100))))-(1-((1-(B6+B7+B11)*(1+B12/100)/(50*70+(B6+B7+B11)*(1+B12/100)))*((1-B37/(5*70+B37))*(1-B18/6*5/100)*(1-B14/100)*(1-B15/3/100)*(1-B16/3/100)*(1-B17/3/100))))</f>
        <v>2.8700640645418218E-5</v>
      </c>
      <c r="H37" s="75">
        <f>$B$38*(1/(1-($B$39+G37)))-$B$38*(1/(1-$B$39))</f>
        <v>26388.537573430687</v>
      </c>
    </row>
    <row r="38" spans="1:23">
      <c r="A38" t="s">
        <v>522</v>
      </c>
      <c r="B38" s="78">
        <f>(36+4*70)+(100*B9)*(1+(B10/100))</f>
        <v>826536.9800000001</v>
      </c>
      <c r="I38" s="68"/>
      <c r="K38" s="125" t="s">
        <v>539</v>
      </c>
      <c r="L38" s="125"/>
      <c r="M38" s="125"/>
      <c r="N38" s="125"/>
      <c r="O38" s="125"/>
      <c r="P38" s="125"/>
      <c r="Q38" s="125"/>
      <c r="R38" s="125"/>
      <c r="T38" s="125" t="s">
        <v>550</v>
      </c>
      <c r="U38" s="125"/>
      <c r="V38" s="125"/>
      <c r="W38" s="125"/>
    </row>
    <row r="39" spans="1:23">
      <c r="A39" t="s">
        <v>523</v>
      </c>
      <c r="B39" s="70">
        <f>1-((1-B30/(50*70+B30))*((1-B37/(5*70+B37))*(1-B18/6*5/100)*(1-B14/100)*(1-B15/3/100)*(1-B16/3/100)*(1-B17/3/100)))</f>
        <v>0.97000304708543561</v>
      </c>
      <c r="C39" s="70"/>
      <c r="E39" t="s">
        <v>507</v>
      </c>
      <c r="F39" s="133">
        <f>((B23+B24)/2)*(B22*(1+B21/100))*((100+(B19*(B20/100)))/100)*(1+(B6/100))*additiff</f>
        <v>1712536.0797717446</v>
      </c>
      <c r="G39" s="133"/>
      <c r="J39" s="81" t="s">
        <v>540</v>
      </c>
      <c r="K39" s="132" t="s">
        <v>534</v>
      </c>
      <c r="L39" s="132"/>
      <c r="M39" s="132" t="s">
        <v>535</v>
      </c>
      <c r="N39" s="132"/>
      <c r="O39" s="132" t="s">
        <v>536</v>
      </c>
      <c r="P39" s="132"/>
      <c r="Q39" s="132" t="s">
        <v>537</v>
      </c>
      <c r="R39" s="132"/>
      <c r="T39" s="126" t="s">
        <v>402</v>
      </c>
      <c r="U39" s="126"/>
      <c r="V39">
        <v>15</v>
      </c>
      <c r="W39" s="42" t="b">
        <v>0</v>
      </c>
    </row>
    <row r="40" spans="1:23">
      <c r="A40" s="113" t="s">
        <v>524</v>
      </c>
      <c r="B40" s="79">
        <f>B38*(1/(1-B39))</f>
        <v>27554031.31625054</v>
      </c>
      <c r="C40" s="85"/>
      <c r="E40" s="64" t="s">
        <v>508</v>
      </c>
      <c r="F40" s="134">
        <f>F39*(1+MAX(B26,B27,B28,B29)/100)</f>
        <v>2260547.6252987031</v>
      </c>
      <c r="G40" s="134"/>
      <c r="H40" s="64"/>
      <c r="J40" s="82">
        <v>724</v>
      </c>
      <c r="K40" t="s">
        <v>3</v>
      </c>
      <c r="L40" s="1">
        <f>181-28</f>
        <v>153</v>
      </c>
      <c r="M40" t="s">
        <v>19</v>
      </c>
      <c r="N40" s="1">
        <v>31</v>
      </c>
      <c r="O40" t="s">
        <v>512</v>
      </c>
      <c r="P40" s="1">
        <v>50</v>
      </c>
      <c r="T40" s="131" t="s">
        <v>553</v>
      </c>
      <c r="U40" s="131"/>
      <c r="V40" s="136" t="s">
        <v>556</v>
      </c>
      <c r="W40" s="136"/>
    </row>
    <row r="41" spans="1:23">
      <c r="E41" s="113" t="s">
        <v>601</v>
      </c>
      <c r="F41" s="135">
        <f>F40*(1+B25/100)</f>
        <v>2577024.2928405218</v>
      </c>
      <c r="G41" s="135"/>
      <c r="H41" s="113"/>
      <c r="K41" s="80" t="s">
        <v>0</v>
      </c>
      <c r="L41">
        <f>L40*5</f>
        <v>765</v>
      </c>
      <c r="M41" s="80" t="s">
        <v>0</v>
      </c>
      <c r="N41">
        <f>N40/5</f>
        <v>6.2</v>
      </c>
      <c r="O41" s="80" t="s">
        <v>0</v>
      </c>
      <c r="P41">
        <f>P40/2</f>
        <v>25</v>
      </c>
      <c r="T41" s="131" t="s">
        <v>102</v>
      </c>
      <c r="U41" s="131"/>
      <c r="V41" s="137" t="s">
        <v>555</v>
      </c>
      <c r="W41" s="137"/>
    </row>
    <row r="42" spans="1:23">
      <c r="K42" t="s">
        <v>538</v>
      </c>
      <c r="L42" s="1"/>
      <c r="M42" t="s">
        <v>4</v>
      </c>
      <c r="N42" s="1">
        <v>50</v>
      </c>
      <c r="O42" t="s">
        <v>527</v>
      </c>
      <c r="P42" s="1">
        <v>50</v>
      </c>
      <c r="T42" s="131" t="s">
        <v>554</v>
      </c>
      <c r="U42" s="131"/>
      <c r="V42" s="136" t="s">
        <v>555</v>
      </c>
      <c r="W42" s="136"/>
    </row>
    <row r="43" spans="1:23">
      <c r="K43" s="80" t="s">
        <v>0</v>
      </c>
      <c r="L43">
        <f>L42*5</f>
        <v>0</v>
      </c>
      <c r="M43" s="80" t="s">
        <v>0</v>
      </c>
      <c r="N43">
        <f>N42/10</f>
        <v>5</v>
      </c>
      <c r="O43" s="80" t="s">
        <v>0</v>
      </c>
      <c r="P43">
        <f>P42/2</f>
        <v>25</v>
      </c>
      <c r="T43" s="131" t="s">
        <v>552</v>
      </c>
      <c r="U43" s="131"/>
      <c r="V43" s="1">
        <v>10</v>
      </c>
      <c r="W43" s="42" t="b">
        <v>1</v>
      </c>
    </row>
    <row r="44" spans="1:23">
      <c r="J44" s="67"/>
      <c r="K44" s="71"/>
      <c r="L44" s="67"/>
      <c r="M44" t="s">
        <v>2</v>
      </c>
      <c r="N44" s="1">
        <v>50</v>
      </c>
      <c r="O44" t="s">
        <v>513</v>
      </c>
      <c r="P44" s="1">
        <v>50</v>
      </c>
      <c r="U44" s="80" t="s">
        <v>0</v>
      </c>
      <c r="V44">
        <f>1.5*V43</f>
        <v>15</v>
      </c>
    </row>
    <row r="45" spans="1:23">
      <c r="K45" s="43"/>
      <c r="L45" s="43"/>
      <c r="M45" s="83" t="s">
        <v>0</v>
      </c>
      <c r="N45" s="43">
        <f>N44</f>
        <v>50</v>
      </c>
      <c r="O45" s="83" t="s">
        <v>0</v>
      </c>
      <c r="P45" s="43">
        <f>P44*5</f>
        <v>250</v>
      </c>
      <c r="T45" s="131" t="s">
        <v>549</v>
      </c>
      <c r="U45" s="131"/>
      <c r="W45" s="42" t="b">
        <v>0</v>
      </c>
    </row>
    <row r="46" spans="1:23">
      <c r="K46" t="s">
        <v>541</v>
      </c>
      <c r="L46" s="71">
        <f>IF(J40&lt;=800,ROUNDDOWN(J40/4,0),J40-600)</f>
        <v>181</v>
      </c>
      <c r="M46" t="s">
        <v>541</v>
      </c>
      <c r="N46" s="71">
        <f>IF(J40&gt;=800,"150",MIN(ROUNDDOWN(J40/4,0),150))</f>
        <v>150</v>
      </c>
      <c r="O46" t="s">
        <v>541</v>
      </c>
      <c r="P46" s="71">
        <f>IF(J40&gt;=800,"150",MIN(ROUNDDOWN(J40/4,0),150))</f>
        <v>150</v>
      </c>
      <c r="T46" s="131" t="s">
        <v>551</v>
      </c>
      <c r="U46" s="131"/>
      <c r="V46" s="1">
        <v>50</v>
      </c>
      <c r="W46" s="42" t="b">
        <v>1</v>
      </c>
    </row>
    <row r="49" spans="17:19">
      <c r="Q49" s="88"/>
      <c r="R49" s="88"/>
      <c r="S49" s="88"/>
    </row>
    <row r="50" spans="17:19">
      <c r="Q50" s="88"/>
      <c r="R50" s="88"/>
      <c r="S50" s="88"/>
    </row>
    <row r="51" spans="17:19">
      <c r="Q51" s="88"/>
      <c r="R51" s="88"/>
      <c r="S51" s="3"/>
    </row>
    <row r="52" spans="17:19">
      <c r="Q52" s="88"/>
      <c r="R52" s="88"/>
      <c r="S52" s="3"/>
    </row>
    <row r="56" spans="17:19" s="67" customFormat="1"/>
  </sheetData>
  <mergeCells count="36">
    <mergeCell ref="V40:W40"/>
    <mergeCell ref="V41:W41"/>
    <mergeCell ref="T42:U42"/>
    <mergeCell ref="V42:W42"/>
    <mergeCell ref="J2:W2"/>
    <mergeCell ref="T40:U40"/>
    <mergeCell ref="T41:U41"/>
    <mergeCell ref="K3:W3"/>
    <mergeCell ref="T43:U43"/>
    <mergeCell ref="T45:U45"/>
    <mergeCell ref="T46:U46"/>
    <mergeCell ref="F4:H4"/>
    <mergeCell ref="O4:O6"/>
    <mergeCell ref="K39:L39"/>
    <mergeCell ref="M39:N39"/>
    <mergeCell ref="O39:P39"/>
    <mergeCell ref="Q39:R39"/>
    <mergeCell ref="K38:R38"/>
    <mergeCell ref="F39:G39"/>
    <mergeCell ref="F40:G40"/>
    <mergeCell ref="F41:G41"/>
    <mergeCell ref="A5:B5"/>
    <mergeCell ref="T38:W38"/>
    <mergeCell ref="T39:U39"/>
    <mergeCell ref="U4:U6"/>
    <mergeCell ref="V4:V6"/>
    <mergeCell ref="W4:W6"/>
    <mergeCell ref="P4:P6"/>
    <mergeCell ref="Q4:Q6"/>
    <mergeCell ref="R4:R6"/>
    <mergeCell ref="S4:S6"/>
    <mergeCell ref="T4:T6"/>
    <mergeCell ref="K4:K6"/>
    <mergeCell ref="L4:L6"/>
    <mergeCell ref="M4:M6"/>
    <mergeCell ref="N4:N6"/>
  </mergeCells>
  <dataValidations count="3">
    <dataValidation type="list" allowBlank="1" showInputMessage="1" showErrorMessage="1" sqref="V40:W40">
      <formula1>"pas utilisé,passif,actif,actif - critique"</formula1>
    </dataValidation>
    <dataValidation type="list" allowBlank="1" showInputMessage="1" showErrorMessage="1" sqref="V41:W41">
      <formula1>"pas utilisé,passif,actif,actif - monolithe"</formula1>
    </dataValidation>
    <dataValidation type="list" allowBlank="1" showInputMessage="1" showErrorMessage="1" sqref="V42:W42">
      <formula1>"pas utilisé,actif - profession de foi"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topLeftCell="A4" workbookViewId="0">
      <selection activeCell="B10" sqref="B10:C10"/>
    </sheetView>
  </sheetViews>
  <sheetFormatPr baseColWidth="10" defaultColWidth="14.42578125" defaultRowHeight="15.75" customHeight="1"/>
  <cols>
    <col min="1" max="1" width="23.85546875" customWidth="1"/>
    <col min="2" max="2" width="18.5703125" customWidth="1"/>
    <col min="3" max="3" width="15.85546875" customWidth="1"/>
    <col min="5" max="5" width="16.5703125" customWidth="1"/>
    <col min="6" max="6" width="20" customWidth="1"/>
    <col min="10" max="10" width="7.140625" customWidth="1"/>
  </cols>
  <sheetData>
    <row r="1" spans="1:26" ht="15.75" customHeight="1"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ht="15.75" customHeight="1"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15.75" customHeight="1"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 spans="1:26" ht="15.75" customHeight="1">
      <c r="B4" s="138" t="s">
        <v>584</v>
      </c>
      <c r="C4" s="139"/>
      <c r="D4" s="139"/>
      <c r="E4" s="140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</row>
    <row r="5" spans="1:26" ht="15.75" customHeight="1">
      <c r="B5" s="141" t="s">
        <v>577</v>
      </c>
      <c r="C5" s="142"/>
      <c r="D5" s="142"/>
      <c r="E5" s="143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</row>
    <row r="6" spans="1:26" ht="15.75" customHeight="1">
      <c r="C6" s="144" t="s">
        <v>558</v>
      </c>
      <c r="D6" s="140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</row>
    <row r="7" spans="1:26" ht="15.75" customHeight="1">
      <c r="C7" s="145" t="s">
        <v>583</v>
      </c>
      <c r="D7" s="140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 spans="1:26" ht="15.75" customHeight="1">
      <c r="B8" s="146" t="s">
        <v>585</v>
      </c>
      <c r="C8" s="147"/>
      <c r="D8" s="147"/>
      <c r="E8" s="148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 spans="1:26" ht="15.75" customHeight="1">
      <c r="B9" s="149" t="s">
        <v>595</v>
      </c>
      <c r="C9" s="140"/>
      <c r="D9" s="150" t="s">
        <v>596</v>
      </c>
      <c r="E9" s="140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26" ht="15.75" customHeight="1">
      <c r="B10" s="151">
        <v>1602</v>
      </c>
      <c r="C10" s="142"/>
      <c r="D10" s="152">
        <v>2040</v>
      </c>
      <c r="E10" s="143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 spans="1:26" ht="15.75" customHeight="1"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spans="1:26" ht="15.75" customHeight="1"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spans="1:26" ht="15.75" customHeight="1">
      <c r="B13" s="157" t="s">
        <v>586</v>
      </c>
      <c r="C13" s="140"/>
      <c r="D13" s="157" t="s">
        <v>587</v>
      </c>
      <c r="E13" s="140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spans="1:26" ht="15.75" customHeight="1">
      <c r="A14" s="90"/>
      <c r="B14" s="158">
        <v>8</v>
      </c>
      <c r="C14" s="140"/>
      <c r="D14" s="158">
        <v>0</v>
      </c>
      <c r="E14" s="140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26" ht="15.75" customHeight="1"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26" ht="15.75" customHeight="1"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1:26" ht="15.75" customHeight="1"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1:26" ht="15.75" customHeight="1"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 spans="1:26" ht="15.75" customHeight="1">
      <c r="C19" s="159" t="s">
        <v>589</v>
      </c>
      <c r="D19" s="140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</row>
    <row r="20" spans="1:26" ht="15.75" customHeight="1">
      <c r="C20" s="160">
        <f>(A35*(B34+AVERAGE(B10,D10)))*(1+B14/100)*(1+D14/100)</f>
        <v>4023.4589999999998</v>
      </c>
      <c r="D20" s="16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</row>
    <row r="21" spans="1:26" ht="15.75" customHeight="1"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1:26" ht="15.75" customHeight="1"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 spans="1:26">
      <c r="A23" s="102" t="s">
        <v>588</v>
      </c>
      <c r="B23" s="153"/>
      <c r="C23" s="139"/>
      <c r="D23" s="139"/>
      <c r="E23" s="140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4" spans="1:26" ht="18">
      <c r="A24" s="107" t="s">
        <v>590</v>
      </c>
      <c r="B24" s="103"/>
      <c r="C24" s="154">
        <f>(A34+B34)*A35*(1+B14/100)*(1+D14/100)</f>
        <v>4366.8720000000003</v>
      </c>
      <c r="D24" s="139"/>
      <c r="E24" s="10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</row>
    <row r="25" spans="1:26" ht="18">
      <c r="A25" s="108" t="s">
        <v>591</v>
      </c>
      <c r="B25" s="105"/>
      <c r="C25" s="155">
        <f>(A35*(B34+AVERAGE(B10,D10)))*1.1*(1+D14/100)</f>
        <v>4097.9674999999997</v>
      </c>
      <c r="D25" s="139"/>
      <c r="E25" s="106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1:26" ht="18">
      <c r="A26" s="109" t="s">
        <v>592</v>
      </c>
      <c r="B26" s="110" t="s">
        <v>593</v>
      </c>
      <c r="C26" s="156">
        <f>(A35*(B34+AVERAGE(B10,D10)))*(1+B14/100)*1.07</f>
        <v>4305.10113</v>
      </c>
      <c r="D26" s="142"/>
      <c r="E26" s="111" t="s">
        <v>594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1:26" ht="15.75" customHeight="1">
      <c r="A27" s="90"/>
      <c r="B27" s="91"/>
      <c r="C27" s="91"/>
      <c r="D27" s="91"/>
      <c r="E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6" ht="15.75" customHeight="1">
      <c r="A28" s="90"/>
      <c r="B28" s="91"/>
      <c r="C28" s="91"/>
      <c r="D28" s="91"/>
      <c r="E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ht="15.75" customHeight="1">
      <c r="A29" s="90"/>
      <c r="B29" s="91"/>
      <c r="C29" s="91"/>
      <c r="D29" s="91"/>
      <c r="E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1:26" ht="15.75" customHeight="1">
      <c r="A30" s="90"/>
      <c r="D30" s="91"/>
      <c r="E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1:26" ht="15.75" customHeight="1">
      <c r="A31" s="95"/>
      <c r="B31" s="96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1:26" ht="15.75" customHeight="1">
      <c r="A32" s="95"/>
      <c r="B32" s="101"/>
      <c r="C32" s="93"/>
      <c r="D32" s="93"/>
      <c r="E32" s="93"/>
      <c r="F32" s="93"/>
      <c r="G32" s="93"/>
      <c r="H32" s="93"/>
      <c r="I32" s="93"/>
      <c r="J32" s="93"/>
      <c r="K32" s="93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:26" ht="15.75" customHeight="1">
      <c r="A33" s="95"/>
      <c r="B33" s="101"/>
      <c r="C33" s="93"/>
      <c r="D33" s="93"/>
      <c r="E33" s="93"/>
      <c r="F33" s="93"/>
      <c r="G33" s="93"/>
      <c r="H33" s="93"/>
      <c r="I33" s="93"/>
      <c r="J33" s="93"/>
      <c r="K33" s="93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:26" ht="15.75" customHeight="1">
      <c r="A34" s="114">
        <f>IF(C7="Oui",SUMIF(Data!A:A,B5,Data!M:M),SUMIF(Data!A:A,B5,Data!L:L))</f>
        <v>2097.5</v>
      </c>
      <c r="B34" s="115">
        <f>SUMIF(Data!A2:A21,B5,Data!K2:K21)</f>
        <v>1418.5</v>
      </c>
      <c r="C34" s="93"/>
      <c r="D34" s="93"/>
      <c r="E34" s="93"/>
      <c r="F34" s="93"/>
      <c r="G34" s="93"/>
      <c r="H34" s="93"/>
      <c r="I34" s="93"/>
      <c r="J34" s="93"/>
      <c r="K34" s="93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:26" ht="15.75" customHeight="1">
      <c r="A35" s="116">
        <f>SUMIF(Data!A2:A21,B5,Data!D2:D21)</f>
        <v>1.1499999999999999</v>
      </c>
      <c r="B35" s="117"/>
      <c r="C35" s="93"/>
      <c r="D35" s="93"/>
      <c r="E35" s="93"/>
      <c r="F35" s="93"/>
      <c r="G35" s="93"/>
      <c r="H35" s="93"/>
      <c r="I35" s="93"/>
      <c r="J35" s="93"/>
      <c r="K35" s="93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</row>
    <row r="36" spans="1:26" ht="15.75" customHeight="1">
      <c r="A36" s="94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</row>
    <row r="37" spans="1:26" ht="15.75" customHeight="1"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 spans="1:26" ht="15.75" customHeight="1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</row>
    <row r="39" spans="1:26" ht="15.75" customHeight="1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</row>
    <row r="40" spans="1:26" ht="15.75" customHeight="1">
      <c r="A40" s="92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spans="1:26" ht="15.75" customHeight="1">
      <c r="A41" s="92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26" ht="15.75" customHeight="1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spans="1:26" ht="15.75" customHeight="1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spans="1:26" ht="15.75" customHeight="1">
      <c r="A44" s="92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1:26" ht="15.75" customHeight="1">
      <c r="A45" s="92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</row>
    <row r="46" spans="1:26" ht="15.75" customHeight="1">
      <c r="A46" s="92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1:26" ht="15.75" customHeight="1">
      <c r="A47" s="92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spans="1:26" ht="15.75" customHeight="1">
      <c r="A48" s="92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</row>
    <row r="49" spans="1:26" ht="15.75" customHeight="1">
      <c r="A49" s="92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</row>
    <row r="50" spans="1:26" ht="15.75" customHeight="1">
      <c r="A50" s="92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</row>
    <row r="51" spans="1:26" ht="15.75" customHeight="1">
      <c r="A51" s="92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</row>
    <row r="52" spans="1:26" ht="15.75" customHeight="1">
      <c r="A52" s="92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</row>
    <row r="53" spans="1:26" ht="15.75" customHeight="1">
      <c r="A53" s="92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</row>
    <row r="54" spans="1:26" ht="15.75" customHeight="1">
      <c r="A54" s="92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</row>
    <row r="55" spans="1:26" ht="15.75" customHeight="1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spans="1:26" ht="15.75" customHeight="1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</row>
    <row r="57" spans="1:26" ht="15.75" customHeight="1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</row>
    <row r="58" spans="1:26" ht="15.75" customHeight="1">
      <c r="A58" s="92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</row>
    <row r="59" spans="1:26" ht="15.75" customHeight="1">
      <c r="A59" s="92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</row>
    <row r="60" spans="1:26" ht="15.75" customHeight="1">
      <c r="C60" s="93"/>
      <c r="D60" s="93"/>
      <c r="E60" s="93"/>
      <c r="F60" s="93"/>
      <c r="G60" s="93"/>
      <c r="H60" s="93"/>
      <c r="I60" s="93"/>
      <c r="J60" s="93"/>
      <c r="K60" s="93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spans="1:26" ht="15.75" customHeight="1">
      <c r="C61" s="93"/>
      <c r="D61" s="93"/>
      <c r="E61" s="93"/>
      <c r="F61" s="93"/>
      <c r="G61" s="93"/>
      <c r="H61" s="93"/>
      <c r="I61" s="93"/>
      <c r="J61" s="93"/>
      <c r="K61" s="93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spans="1:26" ht="15.75" customHeight="1">
      <c r="C62" s="93"/>
      <c r="D62" s="93"/>
      <c r="E62" s="93"/>
      <c r="F62" s="93"/>
      <c r="G62" s="93"/>
      <c r="H62" s="93"/>
      <c r="I62" s="93"/>
      <c r="J62" s="93"/>
      <c r="K62" s="93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ht="15.75" customHeight="1">
      <c r="C63" s="93"/>
      <c r="D63" s="93"/>
      <c r="E63" s="93"/>
      <c r="F63" s="93"/>
      <c r="G63" s="93"/>
      <c r="H63" s="93"/>
      <c r="I63" s="93"/>
      <c r="J63" s="93"/>
      <c r="K63" s="93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</row>
    <row r="64" spans="1:26" ht="15.75" customHeight="1">
      <c r="C64" s="93"/>
      <c r="D64" s="93"/>
      <c r="E64" s="93"/>
      <c r="F64" s="93"/>
      <c r="G64" s="93"/>
      <c r="H64" s="93"/>
      <c r="I64" s="93"/>
      <c r="J64" s="93"/>
      <c r="K64" s="93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</row>
    <row r="65" spans="1:26" ht="15.75" customHeight="1">
      <c r="A65" s="92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spans="1:26" ht="15.75" customHeight="1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</row>
    <row r="67" spans="1:26" ht="15.75" customHeight="1">
      <c r="A67" s="92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</row>
    <row r="68" spans="1:26" ht="15.75" customHeight="1">
      <c r="A68" s="92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spans="1:26" ht="15.75" customHeight="1">
      <c r="A69" s="92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</row>
    <row r="70" spans="1:26" ht="15.75" customHeight="1">
      <c r="A70" s="92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</row>
    <row r="71" spans="1:26" ht="15.75" customHeight="1">
      <c r="A71" s="92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spans="1:26" ht="15.75" customHeight="1">
      <c r="A72" s="92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spans="1:26" ht="15.75" customHeight="1">
      <c r="A73" s="92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spans="1:26" ht="15.75" customHeight="1">
      <c r="A74" s="92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spans="1:26" ht="15.75" customHeight="1">
      <c r="A75" s="92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</row>
    <row r="76" spans="1:26" ht="15.75" customHeight="1">
      <c r="A76" s="92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</row>
    <row r="77" spans="1:26" ht="15.75" customHeight="1">
      <c r="A77" s="92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</row>
    <row r="78" spans="1:26" ht="15.75" customHeight="1">
      <c r="A78" s="92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</row>
    <row r="79" spans="1:26" ht="15.75" customHeight="1">
      <c r="A79" s="92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</row>
    <row r="80" spans="1:26" ht="15.75" customHeight="1">
      <c r="A80" s="92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</row>
    <row r="81" spans="1:26" ht="15.75" customHeight="1">
      <c r="A81" s="92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</row>
    <row r="82" spans="1:26" ht="15.75" customHeight="1">
      <c r="A82" s="92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</row>
    <row r="83" spans="1:26" ht="15.75" customHeight="1">
      <c r="A83" s="92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5.75" customHeight="1">
      <c r="A84" s="92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1:26" ht="15.75" customHeight="1">
      <c r="A85" s="92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</row>
    <row r="86" spans="1:26" ht="15.75" customHeight="1">
      <c r="A86" s="92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</row>
    <row r="87" spans="1:26" ht="15.75" customHeight="1">
      <c r="A87" s="92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</row>
    <row r="88" spans="1:26" ht="15.75" customHeight="1">
      <c r="A88" s="92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</row>
    <row r="89" spans="1:26" ht="15.75" customHeight="1">
      <c r="A89" s="92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spans="1:26" ht="15.75" customHeight="1">
      <c r="A90" s="92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</row>
    <row r="91" spans="1:26" ht="15.75" customHeight="1">
      <c r="A91" s="92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spans="1:26" ht="15.75" customHeight="1">
      <c r="A92" s="92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</row>
    <row r="93" spans="1:26" ht="15.75" customHeight="1">
      <c r="A93" s="92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</row>
    <row r="94" spans="1:26" ht="15.75" customHeight="1">
      <c r="A94" s="92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</row>
    <row r="95" spans="1:26" ht="15.75" customHeight="1">
      <c r="A95" s="92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</row>
    <row r="96" spans="1:26" ht="15.75" customHeight="1">
      <c r="A96" s="92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</row>
    <row r="97" spans="1:26" ht="15.75" customHeight="1">
      <c r="A97" s="92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</row>
    <row r="98" spans="1:26" ht="15.75" customHeight="1">
      <c r="A98" s="92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</row>
    <row r="99" spans="1:26" ht="15.75" customHeight="1">
      <c r="A99" s="92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</row>
    <row r="100" spans="1:26" ht="15.75" customHeight="1">
      <c r="A100" s="92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</row>
    <row r="101" spans="1:26" ht="15.75" customHeight="1">
      <c r="A101" s="92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</row>
    <row r="102" spans="1:26" ht="15.75" customHeight="1">
      <c r="A102" s="92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</row>
    <row r="103" spans="1:26" ht="15.75" customHeight="1">
      <c r="A103" s="92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</row>
    <row r="104" spans="1:26" ht="15.75" customHeight="1">
      <c r="A104" s="92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</row>
    <row r="105" spans="1:26" ht="15.75" customHeight="1">
      <c r="A105" s="92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</row>
    <row r="106" spans="1:26" ht="15.75" customHeight="1">
      <c r="A106" s="92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</row>
    <row r="107" spans="1:26" ht="15.75" customHeight="1">
      <c r="A107" s="92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</row>
    <row r="108" spans="1:26" ht="15.75" customHeight="1">
      <c r="A108" s="92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</row>
    <row r="109" spans="1:26" ht="15.75" customHeight="1">
      <c r="A109" s="92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</row>
    <row r="110" spans="1:26" ht="15.75" customHeight="1">
      <c r="A110" s="92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</row>
    <row r="111" spans="1:26" ht="15.75" customHeight="1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</row>
    <row r="112" spans="1:26" ht="15.75" customHeight="1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</row>
    <row r="113" spans="1:26" ht="15.75" customHeight="1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</row>
    <row r="114" spans="1:26" ht="15.75" customHeight="1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</row>
    <row r="115" spans="1:26" ht="15.75" customHeight="1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</row>
    <row r="116" spans="1:26" ht="15.75" customHeight="1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</row>
    <row r="117" spans="1:26" ht="15.75" customHeight="1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</row>
    <row r="118" spans="1:26" ht="15.75" customHeight="1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</row>
    <row r="119" spans="1:26" ht="15.75" customHeight="1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</row>
    <row r="120" spans="1:26" ht="15.75" customHeight="1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</row>
    <row r="121" spans="1:26" ht="15.75" customHeight="1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</row>
    <row r="122" spans="1:26" ht="15.75" customHeight="1">
      <c r="A122" s="92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</row>
    <row r="123" spans="1:26" ht="15.75" customHeight="1">
      <c r="A123" s="92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</row>
    <row r="124" spans="1:26" ht="15.75" customHeight="1">
      <c r="A124" s="92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</row>
    <row r="125" spans="1:26" ht="15.75" customHeight="1">
      <c r="A125" s="92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</row>
    <row r="126" spans="1:26" ht="15.75" customHeight="1">
      <c r="A126" s="92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</row>
    <row r="127" spans="1:26" ht="15.75" customHeight="1">
      <c r="A127" s="92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</row>
    <row r="128" spans="1:26" ht="15.75" customHeight="1">
      <c r="A128" s="92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</row>
    <row r="129" spans="1:26" ht="15.75" customHeight="1">
      <c r="A129" s="92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</row>
    <row r="130" spans="1:26" ht="15.75" customHeight="1">
      <c r="A130" s="92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</row>
    <row r="131" spans="1:26" ht="15.75" customHeight="1">
      <c r="A131" s="92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</row>
    <row r="132" spans="1:26" ht="15.75" customHeight="1">
      <c r="A132" s="92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</row>
    <row r="133" spans="1:26" ht="15.75" customHeight="1">
      <c r="A133" s="92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</row>
    <row r="134" spans="1:26" ht="15.75" customHeight="1">
      <c r="A134" s="92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</row>
    <row r="135" spans="1:26" ht="15.75" customHeight="1">
      <c r="A135" s="92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</row>
    <row r="136" spans="1:26" ht="15.75" customHeight="1">
      <c r="A136" s="92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</row>
    <row r="137" spans="1:26" ht="15.75" customHeight="1">
      <c r="A137" s="92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</row>
    <row r="138" spans="1:26" ht="15.75" customHeight="1">
      <c r="A138" s="92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</row>
    <row r="139" spans="1:26" ht="15.75" customHeight="1">
      <c r="A139" s="92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spans="1:26" ht="15.75" customHeight="1">
      <c r="A140" s="92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</row>
    <row r="141" spans="1:26" ht="15.75" customHeight="1">
      <c r="A141" s="92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</row>
    <row r="142" spans="1:26" ht="15.75" customHeight="1">
      <c r="A142" s="92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</row>
    <row r="143" spans="1:26" ht="15.75" customHeight="1">
      <c r="A143" s="92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spans="1:26" ht="15.75" customHeight="1">
      <c r="A144" s="92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spans="1:26" ht="15.75" customHeight="1">
      <c r="A145" s="90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spans="1:26" ht="15.75" customHeight="1">
      <c r="A146" s="90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spans="1:26" ht="15.75" customHeight="1">
      <c r="A147" s="90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spans="1:26" ht="15.75" customHeight="1">
      <c r="A148" s="90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  <row r="149" spans="1:26" ht="15.75" customHeight="1">
      <c r="A149" s="90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</row>
    <row r="150" spans="1:26" ht="15.75" customHeight="1">
      <c r="A150" s="90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</row>
    <row r="151" spans="1:26" ht="15.75" customHeight="1">
      <c r="A151" s="90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</row>
    <row r="152" spans="1:26" ht="15.75" customHeight="1">
      <c r="A152" s="90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</row>
    <row r="153" spans="1:26" ht="15.75" customHeight="1">
      <c r="A153" s="90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</row>
    <row r="154" spans="1:26" ht="15.75" customHeight="1">
      <c r="A154" s="90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</row>
    <row r="155" spans="1:26" ht="15.75" customHeight="1">
      <c r="A155" s="90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</row>
    <row r="156" spans="1:26" ht="15.75" customHeight="1">
      <c r="A156" s="90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spans="1:26" ht="15.75" customHeight="1">
      <c r="A157" s="90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</row>
    <row r="158" spans="1:26" ht="15.75" customHeight="1">
      <c r="A158" s="90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</row>
    <row r="159" spans="1:26" ht="15.75" customHeight="1">
      <c r="A159" s="90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</row>
    <row r="160" spans="1:26" ht="15.75" customHeight="1">
      <c r="A160" s="90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</row>
    <row r="161" spans="1:26" ht="15.75" customHeight="1">
      <c r="A161" s="90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</row>
    <row r="162" spans="1:26" ht="15.75" customHeight="1">
      <c r="A162" s="90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</row>
    <row r="163" spans="1:26" ht="15.75" customHeight="1">
      <c r="A163" s="90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</row>
    <row r="164" spans="1:26" ht="15.75" customHeight="1">
      <c r="A164" s="90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</row>
    <row r="165" spans="1:26" ht="15.75" customHeight="1">
      <c r="A165" s="90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</row>
    <row r="166" spans="1:26" ht="15.75" customHeight="1">
      <c r="A166" s="90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</row>
    <row r="167" spans="1:26" ht="15.75" customHeight="1">
      <c r="A167" s="90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</row>
    <row r="168" spans="1:26" ht="15.75" customHeight="1">
      <c r="A168" s="90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</row>
    <row r="169" spans="1:26" ht="15.75" customHeight="1">
      <c r="A169" s="90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</row>
    <row r="170" spans="1:26" ht="15.75" customHeight="1">
      <c r="A170" s="90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</row>
    <row r="171" spans="1:26" ht="15.75" customHeight="1">
      <c r="A171" s="90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</row>
    <row r="172" spans="1:26" ht="15.75" customHeight="1">
      <c r="A172" s="90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</row>
    <row r="173" spans="1:26" ht="15.75" customHeight="1">
      <c r="A173" s="90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</row>
    <row r="174" spans="1:26" ht="15.75" customHeight="1">
      <c r="A174" s="90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</row>
    <row r="175" spans="1:26" ht="15.75" customHeight="1">
      <c r="A175" s="90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</row>
    <row r="176" spans="1:26" ht="15.75" customHeight="1">
      <c r="A176" s="90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</row>
    <row r="177" spans="1:26" ht="15.75" customHeight="1">
      <c r="A177" s="90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</row>
    <row r="178" spans="1:26" ht="15.75" customHeight="1">
      <c r="A178" s="90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</row>
    <row r="179" spans="1:26" ht="15.75" customHeight="1">
      <c r="A179" s="90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</row>
    <row r="180" spans="1:26" ht="15.75" customHeight="1">
      <c r="A180" s="90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</row>
    <row r="181" spans="1:26" ht="15.75" customHeight="1">
      <c r="A181" s="90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</row>
    <row r="182" spans="1:26" ht="15.75" customHeight="1">
      <c r="A182" s="90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</row>
    <row r="183" spans="1:26" ht="15.75" customHeight="1">
      <c r="A183" s="90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</row>
    <row r="184" spans="1:26" ht="15.75" customHeight="1">
      <c r="A184" s="90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</row>
    <row r="185" spans="1:26" ht="15.75" customHeight="1">
      <c r="A185" s="90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</row>
    <row r="186" spans="1:26" ht="15.75" customHeight="1">
      <c r="A186" s="90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</row>
    <row r="187" spans="1:26" ht="15.75" customHeight="1">
      <c r="A187" s="90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</row>
    <row r="188" spans="1:26" ht="15.75" customHeight="1">
      <c r="A188" s="90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</row>
    <row r="189" spans="1:26" ht="15.75" customHeight="1">
      <c r="A189" s="90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</row>
    <row r="190" spans="1:26" ht="15.75" customHeight="1">
      <c r="A190" s="90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</row>
    <row r="191" spans="1:26" ht="15.75" customHeight="1">
      <c r="A191" s="90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</row>
    <row r="192" spans="1:26" ht="15.75" customHeight="1">
      <c r="A192" s="90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</row>
    <row r="193" spans="1:26" ht="15.75" customHeight="1">
      <c r="A193" s="90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</row>
    <row r="194" spans="1:26" ht="15.75" customHeight="1">
      <c r="A194" s="90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</row>
    <row r="195" spans="1:26" ht="15.75" customHeight="1">
      <c r="A195" s="90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</row>
    <row r="196" spans="1:26" ht="15.75" customHeight="1">
      <c r="A196" s="90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</row>
    <row r="197" spans="1:26" ht="15.75" customHeight="1">
      <c r="A197" s="90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</row>
    <row r="198" spans="1:26" ht="15.75" customHeight="1">
      <c r="A198" s="90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</row>
    <row r="199" spans="1:26" ht="15.75" customHeight="1">
      <c r="A199" s="90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</row>
    <row r="200" spans="1:26" ht="15.75" customHeight="1">
      <c r="A200" s="90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</row>
    <row r="201" spans="1:26" ht="15.75" customHeight="1">
      <c r="A201" s="90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</row>
    <row r="202" spans="1:26" ht="15.75" customHeight="1">
      <c r="A202" s="90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</row>
    <row r="203" spans="1:26" ht="15.75" customHeight="1">
      <c r="A203" s="90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</row>
    <row r="204" spans="1:26" ht="15.75" customHeight="1">
      <c r="A204" s="90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</row>
    <row r="205" spans="1:26" ht="15.75" customHeight="1">
      <c r="A205" s="90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</row>
    <row r="206" spans="1:26" ht="15.75" customHeight="1">
      <c r="A206" s="90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</row>
    <row r="207" spans="1:26" ht="15.75" customHeight="1">
      <c r="A207" s="90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</row>
    <row r="208" spans="1:26" ht="15.75" customHeight="1">
      <c r="A208" s="90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</row>
    <row r="209" spans="1:26" ht="15.75" customHeight="1">
      <c r="A209" s="90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</row>
    <row r="210" spans="1:26" ht="15.75" customHeight="1">
      <c r="A210" s="90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</row>
    <row r="211" spans="1:26" ht="15.75" customHeight="1">
      <c r="A211" s="90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</row>
    <row r="212" spans="1:26" ht="15.75" customHeight="1">
      <c r="A212" s="90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</row>
    <row r="213" spans="1:26" ht="15.75" customHeight="1">
      <c r="A213" s="90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</row>
    <row r="214" spans="1:26" ht="15.75" customHeight="1">
      <c r="A214" s="90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</row>
    <row r="215" spans="1:26" ht="15.75" customHeight="1">
      <c r="A215" s="90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</row>
    <row r="216" spans="1:26" ht="15.75" customHeight="1">
      <c r="A216" s="90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</row>
    <row r="217" spans="1:26" ht="15.75" customHeight="1">
      <c r="A217" s="90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</row>
    <row r="218" spans="1:26" ht="15.75" customHeight="1">
      <c r="A218" s="90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</row>
    <row r="219" spans="1:26" ht="15.75" customHeight="1">
      <c r="A219" s="90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</row>
    <row r="220" spans="1:26" ht="15.75" customHeight="1">
      <c r="A220" s="90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</row>
    <row r="221" spans="1:26" ht="15.75" customHeight="1">
      <c r="A221" s="90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</row>
    <row r="222" spans="1:26" ht="15.75" customHeight="1">
      <c r="A222" s="90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</row>
    <row r="223" spans="1:26" ht="15.75" customHeight="1">
      <c r="A223" s="90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</row>
    <row r="224" spans="1:26" ht="15.75" customHeight="1">
      <c r="A224" s="90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</row>
    <row r="225" spans="1:26" ht="15.75" customHeight="1">
      <c r="A225" s="90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</row>
    <row r="226" spans="1:26" ht="15.75" customHeight="1">
      <c r="A226" s="90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</row>
    <row r="227" spans="1:26" ht="15.75" customHeight="1">
      <c r="A227" s="90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</row>
    <row r="228" spans="1:26" ht="15.75" customHeight="1">
      <c r="A228" s="90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</row>
    <row r="229" spans="1:26" ht="15.75" customHeight="1">
      <c r="A229" s="90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</row>
    <row r="230" spans="1:26" ht="15.75" customHeight="1">
      <c r="A230" s="90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</row>
    <row r="231" spans="1:26" ht="15.75" customHeight="1">
      <c r="A231" s="90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</row>
    <row r="232" spans="1:26" ht="15.75" customHeight="1">
      <c r="A232" s="90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</row>
    <row r="233" spans="1:26" ht="15.75" customHeight="1">
      <c r="A233" s="90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</row>
    <row r="234" spans="1:26" ht="15.75" customHeight="1">
      <c r="A234" s="90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</row>
    <row r="235" spans="1:26" ht="15.75" customHeight="1">
      <c r="A235" s="90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</row>
    <row r="236" spans="1:26" ht="15.75" customHeight="1">
      <c r="A236" s="90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</row>
    <row r="237" spans="1:26" ht="15.75" customHeight="1">
      <c r="A237" s="90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</row>
    <row r="238" spans="1:26" ht="15.75" customHeight="1">
      <c r="A238" s="90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</row>
    <row r="239" spans="1:26" ht="15.75" customHeight="1">
      <c r="A239" s="90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</row>
    <row r="240" spans="1:26" ht="15.75" customHeight="1">
      <c r="A240" s="90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</row>
    <row r="241" spans="1:26" ht="15.75" customHeight="1">
      <c r="A241" s="90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</row>
    <row r="242" spans="1:26" ht="15.75" customHeight="1">
      <c r="A242" s="90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</row>
    <row r="243" spans="1:26" ht="15.75" customHeight="1">
      <c r="A243" s="90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</row>
    <row r="244" spans="1:26" ht="15.75" customHeight="1">
      <c r="A244" s="90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</row>
    <row r="245" spans="1:26" ht="15.75" customHeight="1">
      <c r="A245" s="90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</row>
    <row r="246" spans="1:26" ht="15.75" customHeight="1">
      <c r="A246" s="90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</row>
    <row r="247" spans="1:26" ht="15.75" customHeight="1">
      <c r="A247" s="90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</row>
    <row r="248" spans="1:26" ht="15.75" customHeight="1">
      <c r="A248" s="90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</row>
    <row r="249" spans="1:26" ht="15.75" customHeight="1">
      <c r="A249" s="90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</row>
    <row r="250" spans="1:26" ht="15.75" customHeight="1">
      <c r="A250" s="90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</row>
    <row r="251" spans="1:26" ht="15.75" customHeight="1">
      <c r="A251" s="90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</row>
    <row r="252" spans="1:26" ht="15.75" customHeight="1">
      <c r="A252" s="90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</row>
    <row r="253" spans="1:26" ht="15.75" customHeight="1">
      <c r="A253" s="90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</row>
    <row r="254" spans="1:26" ht="15.75" customHeight="1">
      <c r="A254" s="90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</row>
    <row r="255" spans="1:26" ht="15.75" customHeight="1">
      <c r="A255" s="90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</row>
    <row r="256" spans="1:26" ht="15.75" customHeight="1">
      <c r="A256" s="90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</row>
    <row r="257" spans="1:26" ht="15.75" customHeight="1">
      <c r="A257" s="90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</row>
    <row r="258" spans="1:26" ht="15.75" customHeight="1">
      <c r="A258" s="90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</row>
    <row r="259" spans="1:26" ht="15.75" customHeight="1">
      <c r="A259" s="90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</row>
    <row r="260" spans="1:26" ht="15.75" customHeight="1">
      <c r="A260" s="90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</row>
    <row r="261" spans="1:26" ht="15.75" customHeight="1">
      <c r="A261" s="90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</row>
    <row r="262" spans="1:26" ht="15.75" customHeight="1">
      <c r="A262" s="90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</row>
    <row r="263" spans="1:26" ht="15.75" customHeight="1">
      <c r="A263" s="90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</row>
    <row r="264" spans="1:26" ht="15.75" customHeight="1">
      <c r="A264" s="90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</row>
    <row r="265" spans="1:26" ht="15.75" customHeight="1">
      <c r="A265" s="90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</row>
    <row r="266" spans="1:26" ht="15.75" customHeight="1">
      <c r="A266" s="90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</row>
    <row r="267" spans="1:26" ht="15.75" customHeight="1">
      <c r="A267" s="90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</row>
    <row r="268" spans="1:26" ht="15.75" customHeight="1">
      <c r="A268" s="90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</row>
    <row r="269" spans="1:26" ht="15.75" customHeight="1">
      <c r="A269" s="90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</row>
    <row r="270" spans="1:26" ht="15.75" customHeight="1">
      <c r="A270" s="90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</row>
    <row r="271" spans="1:26" ht="15.75" customHeight="1">
      <c r="A271" s="90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</row>
    <row r="272" spans="1:26" ht="15.75" customHeight="1">
      <c r="A272" s="90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</row>
    <row r="273" spans="1:26" ht="15.75" customHeight="1">
      <c r="A273" s="90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</row>
    <row r="274" spans="1:26" ht="15.75" customHeight="1">
      <c r="A274" s="90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</row>
    <row r="275" spans="1:26" ht="15.75" customHeight="1">
      <c r="A275" s="90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</row>
    <row r="276" spans="1:26" ht="15.75" customHeight="1">
      <c r="A276" s="90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</row>
    <row r="277" spans="1:26" ht="15.75" customHeight="1">
      <c r="A277" s="90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</row>
    <row r="278" spans="1:26" ht="15.75" customHeight="1">
      <c r="A278" s="90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</row>
    <row r="279" spans="1:26" ht="15.75" customHeight="1">
      <c r="A279" s="90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</row>
    <row r="280" spans="1:26" ht="15.75" customHeight="1">
      <c r="A280" s="90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</row>
    <row r="281" spans="1:26" ht="15.75" customHeight="1">
      <c r="A281" s="90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</row>
    <row r="282" spans="1:26" ht="15.75" customHeight="1">
      <c r="A282" s="90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</row>
    <row r="283" spans="1:26" ht="15.75" customHeight="1">
      <c r="A283" s="90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</row>
    <row r="284" spans="1:26" ht="15.75" customHeight="1">
      <c r="A284" s="90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</row>
    <row r="285" spans="1:26" ht="15.75" customHeight="1">
      <c r="A285" s="90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</row>
    <row r="286" spans="1:26" ht="15.75" customHeight="1">
      <c r="A286" s="90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</row>
    <row r="287" spans="1:26" ht="15.75" customHeight="1">
      <c r="A287" s="90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</row>
    <row r="288" spans="1:26" ht="15.75" customHeight="1">
      <c r="A288" s="90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</row>
    <row r="289" spans="1:26" ht="15.75" customHeight="1">
      <c r="A289" s="90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</row>
    <row r="290" spans="1:26" ht="15.75" customHeight="1">
      <c r="A290" s="90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</row>
    <row r="291" spans="1:26" ht="15.75" customHeight="1">
      <c r="A291" s="90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</row>
    <row r="292" spans="1:26" ht="15.75" customHeight="1">
      <c r="A292" s="90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</row>
    <row r="293" spans="1:26" ht="15.75" customHeight="1">
      <c r="A293" s="90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</row>
    <row r="294" spans="1:26" ht="15.75" customHeight="1">
      <c r="A294" s="90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</row>
    <row r="295" spans="1:26" ht="15.75" customHeight="1">
      <c r="A295" s="90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</row>
    <row r="296" spans="1:26" ht="15.75" customHeight="1">
      <c r="A296" s="90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</row>
    <row r="297" spans="1:26" ht="15.75" customHeight="1">
      <c r="A297" s="90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</row>
    <row r="298" spans="1:26" ht="15.75" customHeight="1">
      <c r="A298" s="90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</row>
    <row r="299" spans="1:26" ht="15.75" customHeight="1">
      <c r="A299" s="90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</row>
    <row r="300" spans="1:26" ht="15.75" customHeight="1">
      <c r="A300" s="90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</row>
    <row r="301" spans="1:26" ht="15.75" customHeight="1">
      <c r="A301" s="90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</row>
    <row r="302" spans="1:26" ht="15.75" customHeight="1">
      <c r="A302" s="90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</row>
    <row r="303" spans="1:26" ht="15.75" customHeight="1">
      <c r="A303" s="90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</row>
    <row r="304" spans="1:26" ht="15.75" customHeight="1">
      <c r="A304" s="90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</row>
    <row r="305" spans="1:26" ht="15.75" customHeight="1">
      <c r="A305" s="90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</row>
    <row r="306" spans="1:26" ht="15.75" customHeight="1">
      <c r="A306" s="90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</row>
    <row r="307" spans="1:26" ht="15.75" customHeight="1">
      <c r="A307" s="90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</row>
    <row r="308" spans="1:26" ht="15.75" customHeight="1">
      <c r="A308" s="90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</row>
    <row r="309" spans="1:26" ht="15.75" customHeight="1">
      <c r="A309" s="90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</row>
    <row r="310" spans="1:26" ht="15.75" customHeight="1">
      <c r="A310" s="90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</row>
    <row r="311" spans="1:26" ht="15.75" customHeight="1">
      <c r="A311" s="90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</row>
    <row r="312" spans="1:26" ht="15.75" customHeight="1">
      <c r="A312" s="90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</row>
    <row r="313" spans="1:26" ht="15.75" customHeight="1">
      <c r="A313" s="90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</row>
    <row r="314" spans="1:26" ht="15.75" customHeight="1">
      <c r="A314" s="90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</row>
    <row r="315" spans="1:26" ht="15.75" customHeight="1">
      <c r="A315" s="90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</row>
    <row r="316" spans="1:26" ht="15.75" customHeight="1">
      <c r="A316" s="90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</row>
    <row r="317" spans="1:26" ht="15.75" customHeight="1">
      <c r="A317" s="90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</row>
    <row r="318" spans="1:26" ht="15.75" customHeight="1">
      <c r="A318" s="90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</row>
    <row r="319" spans="1:26" ht="15.75" customHeight="1">
      <c r="A319" s="90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</row>
    <row r="320" spans="1:26" ht="15.75" customHeight="1">
      <c r="A320" s="90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</row>
    <row r="321" spans="1:26" ht="15.75" customHeight="1">
      <c r="A321" s="90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</row>
    <row r="322" spans="1:26" ht="15.75" customHeight="1">
      <c r="A322" s="90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</row>
    <row r="323" spans="1:26" ht="15.75" customHeight="1">
      <c r="A323" s="90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</row>
    <row r="324" spans="1:26" ht="15.75" customHeight="1">
      <c r="A324" s="90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</row>
    <row r="325" spans="1:26" ht="15.75" customHeight="1">
      <c r="A325" s="90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</row>
    <row r="326" spans="1:26" ht="15.75" customHeight="1">
      <c r="A326" s="90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</row>
    <row r="327" spans="1:26" ht="15.75" customHeight="1">
      <c r="A327" s="90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</row>
    <row r="328" spans="1:26" ht="15.75" customHeight="1">
      <c r="A328" s="90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</row>
    <row r="329" spans="1:26" ht="15.75" customHeight="1">
      <c r="A329" s="90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</row>
    <row r="330" spans="1:26" ht="15.75" customHeight="1">
      <c r="A330" s="90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</row>
    <row r="331" spans="1:26" ht="15.75" customHeight="1">
      <c r="A331" s="90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</row>
    <row r="332" spans="1:26" ht="15.75" customHeight="1">
      <c r="A332" s="90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</row>
    <row r="333" spans="1:26" ht="15.75" customHeight="1">
      <c r="A333" s="90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</row>
    <row r="334" spans="1:26" ht="15.75" customHeight="1">
      <c r="A334" s="90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</row>
    <row r="335" spans="1:26" ht="15.75" customHeight="1">
      <c r="A335" s="90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</row>
    <row r="336" spans="1:26" ht="15.75" customHeight="1">
      <c r="A336" s="90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</row>
    <row r="337" spans="1:26" ht="15.75" customHeight="1">
      <c r="A337" s="90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</row>
    <row r="338" spans="1:26" ht="15.75" customHeight="1">
      <c r="A338" s="90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</row>
    <row r="339" spans="1:26" ht="15.75" customHeight="1">
      <c r="A339" s="90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</row>
    <row r="340" spans="1:26" ht="15.75" customHeight="1">
      <c r="A340" s="90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</row>
    <row r="341" spans="1:26" ht="15.75" customHeight="1">
      <c r="A341" s="90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</row>
    <row r="342" spans="1:26" ht="15.75" customHeight="1">
      <c r="A342" s="90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</row>
    <row r="343" spans="1:26" ht="15.75" customHeight="1">
      <c r="A343" s="90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</row>
    <row r="344" spans="1:26" ht="15.75" customHeight="1">
      <c r="A344" s="90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</row>
    <row r="345" spans="1:26" ht="15.75" customHeight="1">
      <c r="A345" s="90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</row>
    <row r="346" spans="1:26" ht="15.75" customHeight="1">
      <c r="A346" s="90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</row>
    <row r="347" spans="1:26" ht="15.75" customHeight="1">
      <c r="A347" s="90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</row>
    <row r="348" spans="1:26" ht="15.75" customHeight="1">
      <c r="A348" s="90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</row>
    <row r="349" spans="1:26" ht="15.75" customHeight="1">
      <c r="A349" s="90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</row>
    <row r="350" spans="1:26" ht="15.75" customHeight="1">
      <c r="A350" s="90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</row>
    <row r="351" spans="1:26" ht="15.75" customHeight="1">
      <c r="A351" s="90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</row>
    <row r="352" spans="1:26" ht="15.75" customHeight="1">
      <c r="A352" s="90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</row>
    <row r="353" spans="1:26" ht="15.75" customHeight="1">
      <c r="A353" s="90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</row>
    <row r="354" spans="1:26" ht="15.75" customHeight="1">
      <c r="A354" s="90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</row>
    <row r="355" spans="1:26" ht="15.75" customHeight="1">
      <c r="A355" s="90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</row>
    <row r="356" spans="1:26" ht="15.75" customHeight="1">
      <c r="A356" s="90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</row>
    <row r="357" spans="1:26" ht="15.75" customHeight="1">
      <c r="A357" s="90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</row>
    <row r="358" spans="1:26" ht="15.75" customHeight="1">
      <c r="A358" s="90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</row>
    <row r="359" spans="1:26" ht="15.75" customHeight="1">
      <c r="A359" s="90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</row>
    <row r="360" spans="1:26" ht="15.75" customHeight="1">
      <c r="A360" s="90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</row>
    <row r="361" spans="1:26" ht="15.75" customHeight="1">
      <c r="A361" s="90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</row>
    <row r="362" spans="1:26" ht="15.75" customHeight="1">
      <c r="A362" s="90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</row>
    <row r="363" spans="1:26" ht="15.75" customHeight="1">
      <c r="A363" s="90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</row>
    <row r="364" spans="1:26" ht="15.75" customHeight="1">
      <c r="A364" s="90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</row>
    <row r="365" spans="1:26" ht="15.75" customHeight="1">
      <c r="A365" s="90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</row>
    <row r="366" spans="1:26" ht="15.75" customHeight="1">
      <c r="A366" s="90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</row>
    <row r="367" spans="1:26" ht="15.75" customHeight="1">
      <c r="A367" s="90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</row>
    <row r="368" spans="1:26" ht="15.75" customHeight="1">
      <c r="A368" s="90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</row>
    <row r="369" spans="1:26" ht="15.75" customHeight="1">
      <c r="A369" s="90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</row>
    <row r="370" spans="1:26" ht="15.75" customHeight="1">
      <c r="A370" s="90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</row>
    <row r="371" spans="1:26" ht="15.75" customHeight="1">
      <c r="A371" s="90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</row>
    <row r="372" spans="1:26" ht="15.75" customHeight="1">
      <c r="A372" s="90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</row>
    <row r="373" spans="1:26" ht="15.75" customHeight="1">
      <c r="A373" s="90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</row>
    <row r="374" spans="1:26" ht="15.75" customHeight="1">
      <c r="A374" s="90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</row>
    <row r="375" spans="1:26" ht="15.75" customHeight="1">
      <c r="A375" s="90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</row>
    <row r="376" spans="1:26" ht="15.75" customHeight="1">
      <c r="A376" s="90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</row>
    <row r="377" spans="1:26" ht="15.75" customHeight="1">
      <c r="A377" s="90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</row>
    <row r="378" spans="1:26" ht="15.75" customHeight="1">
      <c r="A378" s="90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</row>
    <row r="379" spans="1:26" ht="15.75" customHeight="1">
      <c r="A379" s="90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</row>
    <row r="380" spans="1:26" ht="15.75" customHeight="1">
      <c r="A380" s="90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</row>
    <row r="381" spans="1:26" ht="15.75" customHeight="1">
      <c r="A381" s="90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</row>
    <row r="382" spans="1:26" ht="15.75" customHeight="1">
      <c r="A382" s="90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</row>
    <row r="383" spans="1:26" ht="15.75" customHeight="1">
      <c r="A383" s="90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</row>
    <row r="384" spans="1:26" ht="15.75" customHeight="1">
      <c r="A384" s="90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</row>
    <row r="385" spans="1:26" ht="15.75" customHeight="1">
      <c r="A385" s="90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</row>
    <row r="386" spans="1:26" ht="15.75" customHeight="1">
      <c r="A386" s="90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</row>
    <row r="387" spans="1:26" ht="15.75" customHeight="1">
      <c r="A387" s="90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</row>
    <row r="388" spans="1:26" ht="15.75" customHeight="1">
      <c r="A388" s="90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</row>
    <row r="389" spans="1:26" ht="15.75" customHeight="1">
      <c r="A389" s="90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</row>
    <row r="390" spans="1:26" ht="15.75" customHeight="1">
      <c r="A390" s="90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</row>
    <row r="391" spans="1:26" ht="15.75" customHeight="1">
      <c r="A391" s="90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</row>
    <row r="392" spans="1:26" ht="15.75" customHeight="1">
      <c r="A392" s="90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</row>
    <row r="393" spans="1:26" ht="15.75" customHeight="1">
      <c r="A393" s="90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</row>
    <row r="394" spans="1:26" ht="15.75" customHeight="1">
      <c r="A394" s="90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</row>
    <row r="395" spans="1:26" ht="15.75" customHeight="1">
      <c r="A395" s="90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</row>
    <row r="396" spans="1:26" ht="15.75" customHeight="1">
      <c r="A396" s="90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</row>
    <row r="397" spans="1:26" ht="15.75" customHeight="1">
      <c r="A397" s="90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</row>
    <row r="398" spans="1:26" ht="15.75" customHeight="1">
      <c r="A398" s="90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</row>
    <row r="399" spans="1:26" ht="15.75" customHeight="1">
      <c r="A399" s="90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</row>
    <row r="400" spans="1:26" ht="15.75" customHeight="1">
      <c r="A400" s="90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</row>
    <row r="401" spans="1:26" ht="15.75" customHeight="1">
      <c r="A401" s="90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</row>
    <row r="402" spans="1:26" ht="15.75" customHeight="1">
      <c r="A402" s="90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</row>
    <row r="403" spans="1:26" ht="15.75" customHeight="1">
      <c r="A403" s="90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</row>
    <row r="404" spans="1:26" ht="15.75" customHeight="1">
      <c r="A404" s="90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</row>
    <row r="405" spans="1:26" ht="15.75" customHeight="1">
      <c r="A405" s="90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</row>
    <row r="406" spans="1:26" ht="15.75" customHeight="1">
      <c r="A406" s="90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</row>
    <row r="407" spans="1:26" ht="15.75" customHeight="1">
      <c r="A407" s="90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</row>
    <row r="408" spans="1:26" ht="15.75" customHeight="1">
      <c r="A408" s="90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</row>
    <row r="409" spans="1:26" ht="15.75" customHeight="1">
      <c r="A409" s="90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</row>
    <row r="410" spans="1:26" ht="15.75" customHeight="1">
      <c r="A410" s="90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</row>
    <row r="411" spans="1:26" ht="15.75" customHeight="1">
      <c r="A411" s="90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</row>
    <row r="412" spans="1:26" ht="15.75" customHeight="1">
      <c r="A412" s="90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</row>
    <row r="413" spans="1:26" ht="15.75" customHeight="1">
      <c r="A413" s="90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</row>
    <row r="414" spans="1:26" ht="15.75" customHeight="1">
      <c r="A414" s="90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</row>
    <row r="415" spans="1:26" ht="15.75" customHeight="1">
      <c r="A415" s="90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</row>
    <row r="416" spans="1:26" ht="15.75" customHeight="1">
      <c r="A416" s="90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</row>
    <row r="417" spans="1:26" ht="15.75" customHeight="1">
      <c r="A417" s="90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</row>
    <row r="418" spans="1:26" ht="15.75" customHeight="1">
      <c r="A418" s="90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</row>
    <row r="419" spans="1:26" ht="15.75" customHeight="1">
      <c r="A419" s="90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</row>
    <row r="420" spans="1:26" ht="15.75" customHeight="1">
      <c r="A420" s="90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</row>
    <row r="421" spans="1:26" ht="15.75" customHeight="1">
      <c r="A421" s="90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</row>
    <row r="422" spans="1:26" ht="15.75" customHeight="1">
      <c r="A422" s="90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</row>
    <row r="423" spans="1:26" ht="15.75" customHeight="1">
      <c r="A423" s="90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</row>
    <row r="424" spans="1:26" ht="15.75" customHeight="1">
      <c r="A424" s="90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</row>
    <row r="425" spans="1:26" ht="15.75" customHeight="1">
      <c r="A425" s="90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</row>
    <row r="426" spans="1:26" ht="15.75" customHeight="1">
      <c r="A426" s="90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</row>
    <row r="427" spans="1:26" ht="15.75" customHeight="1">
      <c r="A427" s="90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</row>
    <row r="428" spans="1:26" ht="15.75" customHeight="1">
      <c r="A428" s="90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</row>
    <row r="429" spans="1:26" ht="15.75" customHeight="1">
      <c r="A429" s="90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</row>
    <row r="430" spans="1:26" ht="15.75" customHeight="1">
      <c r="A430" s="90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</row>
    <row r="431" spans="1:26" ht="15.75" customHeight="1">
      <c r="A431" s="90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</row>
    <row r="432" spans="1:26" ht="15.75" customHeight="1">
      <c r="A432" s="90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</row>
    <row r="433" spans="1:26" ht="15.75" customHeight="1">
      <c r="A433" s="90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</row>
    <row r="434" spans="1:26" ht="15.75" customHeight="1">
      <c r="A434" s="90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</row>
    <row r="435" spans="1:26" ht="15.75" customHeight="1">
      <c r="A435" s="90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</row>
    <row r="436" spans="1:26" ht="15.75" customHeight="1">
      <c r="A436" s="90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</row>
    <row r="437" spans="1:26" ht="15.75" customHeight="1">
      <c r="A437" s="90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</row>
    <row r="438" spans="1:26" ht="15.75" customHeight="1">
      <c r="A438" s="90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</row>
    <row r="439" spans="1:26" ht="15.75" customHeight="1">
      <c r="A439" s="90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</row>
    <row r="440" spans="1:26" ht="15.75" customHeight="1">
      <c r="A440" s="90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</row>
    <row r="441" spans="1:26" ht="15.75" customHeight="1">
      <c r="A441" s="90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</row>
    <row r="442" spans="1:26" ht="15.75" customHeight="1">
      <c r="A442" s="90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</row>
    <row r="443" spans="1:26" ht="15.75" customHeight="1">
      <c r="A443" s="90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</row>
    <row r="444" spans="1:26" ht="15.75" customHeight="1">
      <c r="A444" s="90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</row>
    <row r="445" spans="1:26" ht="15.75" customHeight="1">
      <c r="A445" s="90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</row>
    <row r="446" spans="1:26" ht="15.75" customHeight="1">
      <c r="A446" s="90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</row>
    <row r="447" spans="1:26" ht="15.75" customHeight="1">
      <c r="A447" s="90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</row>
    <row r="448" spans="1:26" ht="15.75" customHeight="1">
      <c r="A448" s="90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</row>
    <row r="449" spans="1:26" ht="15.75" customHeight="1">
      <c r="A449" s="90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</row>
    <row r="450" spans="1:26" ht="15.75" customHeight="1">
      <c r="A450" s="90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</row>
    <row r="451" spans="1:26" ht="15.75" customHeight="1">
      <c r="A451" s="90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</row>
    <row r="452" spans="1:26" ht="15.75" customHeight="1">
      <c r="A452" s="90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</row>
    <row r="453" spans="1:26" ht="15.75" customHeight="1">
      <c r="A453" s="90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</row>
    <row r="454" spans="1:26" ht="15.75" customHeight="1">
      <c r="A454" s="90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</row>
    <row r="455" spans="1:26" ht="15.75" customHeight="1">
      <c r="A455" s="90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</row>
    <row r="456" spans="1:26" ht="15.75" customHeight="1">
      <c r="A456" s="90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</row>
    <row r="457" spans="1:26" ht="15.75" customHeight="1">
      <c r="A457" s="90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</row>
    <row r="458" spans="1:26" ht="15.75" customHeight="1">
      <c r="A458" s="90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</row>
    <row r="459" spans="1:26" ht="15.75" customHeight="1">
      <c r="A459" s="90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</row>
    <row r="460" spans="1:26" ht="15.75" customHeight="1">
      <c r="A460" s="90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</row>
    <row r="461" spans="1:26" ht="15.75" customHeight="1">
      <c r="A461" s="90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</row>
    <row r="462" spans="1:26" ht="15.75" customHeight="1">
      <c r="A462" s="90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</row>
    <row r="463" spans="1:26" ht="15.75" customHeight="1">
      <c r="A463" s="90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</row>
    <row r="464" spans="1:26" ht="15.75" customHeight="1">
      <c r="A464" s="90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</row>
    <row r="465" spans="1:26" ht="15.75" customHeight="1">
      <c r="A465" s="90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</row>
    <row r="466" spans="1:26" ht="15.75" customHeight="1">
      <c r="A466" s="90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</row>
    <row r="467" spans="1:26" ht="15.75" customHeight="1">
      <c r="A467" s="90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</row>
    <row r="468" spans="1:26" ht="15.75" customHeight="1">
      <c r="A468" s="90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</row>
    <row r="469" spans="1:26" ht="15.75" customHeight="1">
      <c r="A469" s="90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</row>
    <row r="470" spans="1:26" ht="15.75" customHeight="1">
      <c r="A470" s="90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</row>
    <row r="471" spans="1:26" ht="15.75" customHeight="1">
      <c r="A471" s="90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</row>
    <row r="472" spans="1:26" ht="15.75" customHeight="1">
      <c r="A472" s="90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</row>
    <row r="473" spans="1:26" ht="15.75" customHeight="1">
      <c r="A473" s="90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</row>
    <row r="474" spans="1:26" ht="15.75" customHeight="1">
      <c r="A474" s="90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</row>
    <row r="475" spans="1:26" ht="15.75" customHeight="1">
      <c r="A475" s="90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</row>
    <row r="476" spans="1:26" ht="15.75" customHeight="1">
      <c r="A476" s="90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</row>
    <row r="477" spans="1:26" ht="15.75" customHeight="1">
      <c r="A477" s="90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</row>
    <row r="478" spans="1:26" ht="15.75" customHeight="1">
      <c r="A478" s="90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</row>
    <row r="479" spans="1:26" ht="15.75" customHeight="1">
      <c r="A479" s="90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</row>
    <row r="480" spans="1:26" ht="15.75" customHeight="1">
      <c r="A480" s="90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</row>
    <row r="481" spans="1:26" ht="15.75" customHeight="1">
      <c r="A481" s="90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</row>
    <row r="482" spans="1:26" ht="15.75" customHeight="1">
      <c r="A482" s="90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</row>
    <row r="483" spans="1:26" ht="15.75" customHeight="1">
      <c r="A483" s="90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</row>
    <row r="484" spans="1:26" ht="15.75" customHeight="1">
      <c r="A484" s="90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</row>
    <row r="485" spans="1:26" ht="15.75" customHeight="1">
      <c r="A485" s="90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</row>
    <row r="486" spans="1:26" ht="15.75" customHeight="1">
      <c r="A486" s="90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</row>
    <row r="487" spans="1:26" ht="15.75" customHeight="1">
      <c r="A487" s="90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</row>
    <row r="488" spans="1:26" ht="15.75" customHeight="1">
      <c r="A488" s="90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</row>
    <row r="489" spans="1:26" ht="15.75" customHeight="1">
      <c r="A489" s="90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</row>
    <row r="490" spans="1:26" ht="15.75" customHeight="1">
      <c r="A490" s="90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</row>
    <row r="491" spans="1:26" ht="15.75" customHeight="1">
      <c r="A491" s="90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</row>
    <row r="492" spans="1:26" ht="15.75" customHeight="1">
      <c r="A492" s="90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</row>
    <row r="493" spans="1:26" ht="15.75" customHeight="1">
      <c r="A493" s="90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</row>
    <row r="494" spans="1:26" ht="15.75" customHeight="1">
      <c r="A494" s="90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</row>
    <row r="495" spans="1:26" ht="15.75" customHeight="1">
      <c r="A495" s="90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</row>
    <row r="496" spans="1:26" ht="15.75" customHeight="1">
      <c r="A496" s="90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</row>
    <row r="497" spans="1:26" ht="15.75" customHeight="1">
      <c r="A497" s="90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</row>
    <row r="498" spans="1:26" ht="15.75" customHeight="1">
      <c r="A498" s="90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</row>
    <row r="499" spans="1:26" ht="15.75" customHeight="1">
      <c r="A499" s="90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</row>
    <row r="500" spans="1:26" ht="15.75" customHeight="1">
      <c r="A500" s="90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</row>
    <row r="501" spans="1:26" ht="15.75" customHeight="1">
      <c r="A501" s="90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</row>
    <row r="502" spans="1:26" ht="15.75" customHeight="1">
      <c r="A502" s="90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</row>
    <row r="503" spans="1:26" ht="15.75" customHeight="1">
      <c r="A503" s="90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</row>
    <row r="504" spans="1:26" ht="15.75" customHeight="1">
      <c r="A504" s="90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</row>
    <row r="505" spans="1:26" ht="15.75" customHeight="1">
      <c r="A505" s="90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</row>
    <row r="506" spans="1:26" ht="15.75" customHeight="1">
      <c r="A506" s="90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</row>
    <row r="507" spans="1:26" ht="15.75" customHeight="1">
      <c r="A507" s="90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</row>
    <row r="508" spans="1:26" ht="15.75" customHeight="1">
      <c r="A508" s="90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</row>
    <row r="509" spans="1:26" ht="15.75" customHeight="1">
      <c r="A509" s="90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</row>
    <row r="510" spans="1:26" ht="15.75" customHeight="1">
      <c r="A510" s="90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</row>
    <row r="511" spans="1:26" ht="15.75" customHeight="1">
      <c r="A511" s="90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</row>
    <row r="512" spans="1:26" ht="15.75" customHeight="1">
      <c r="A512" s="90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</row>
    <row r="513" spans="1:26" ht="15.75" customHeight="1">
      <c r="A513" s="90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</row>
    <row r="514" spans="1:26" ht="15.75" customHeight="1">
      <c r="A514" s="90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</row>
    <row r="515" spans="1:26" ht="15.75" customHeight="1">
      <c r="A515" s="90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</row>
    <row r="516" spans="1:26" ht="15.75" customHeight="1">
      <c r="A516" s="90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</row>
    <row r="517" spans="1:26" ht="15.75" customHeight="1">
      <c r="A517" s="90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</row>
    <row r="518" spans="1:26" ht="15.75" customHeight="1">
      <c r="A518" s="90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</row>
    <row r="519" spans="1:26" ht="15.75" customHeight="1">
      <c r="A519" s="90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</row>
    <row r="520" spans="1:26" ht="15.75" customHeight="1">
      <c r="A520" s="90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</row>
    <row r="521" spans="1:26" ht="15.75" customHeight="1">
      <c r="A521" s="90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</row>
    <row r="522" spans="1:26" ht="15.75" customHeight="1">
      <c r="A522" s="90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</row>
    <row r="523" spans="1:26" ht="15.75" customHeight="1">
      <c r="A523" s="90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</row>
    <row r="524" spans="1:26" ht="15.75" customHeight="1">
      <c r="A524" s="90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</row>
    <row r="525" spans="1:26" ht="15.75" customHeight="1">
      <c r="A525" s="90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</row>
    <row r="526" spans="1:26" ht="15.75" customHeight="1">
      <c r="A526" s="90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</row>
    <row r="527" spans="1:26" ht="15.75" customHeight="1">
      <c r="A527" s="90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</row>
    <row r="528" spans="1:26" ht="15.75" customHeight="1">
      <c r="A528" s="90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</row>
    <row r="529" spans="1:26" ht="15.75" customHeight="1">
      <c r="A529" s="90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</row>
    <row r="530" spans="1:26" ht="15.75" customHeight="1">
      <c r="A530" s="90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</row>
    <row r="531" spans="1:26" ht="15.75" customHeight="1">
      <c r="A531" s="90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</row>
    <row r="532" spans="1:26" ht="15.75" customHeight="1">
      <c r="A532" s="90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</row>
    <row r="533" spans="1:26" ht="15.75" customHeight="1">
      <c r="A533" s="90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</row>
    <row r="534" spans="1:26" ht="15.75" customHeight="1">
      <c r="A534" s="90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</row>
    <row r="535" spans="1:26" ht="15.75" customHeight="1">
      <c r="A535" s="90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</row>
    <row r="536" spans="1:26" ht="15.75" customHeight="1">
      <c r="A536" s="90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</row>
    <row r="537" spans="1:26" ht="15.75" customHeight="1">
      <c r="A537" s="90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</row>
    <row r="538" spans="1:26" ht="15.75" customHeight="1">
      <c r="A538" s="90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</row>
    <row r="539" spans="1:26" ht="15.75" customHeight="1">
      <c r="A539" s="90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</row>
    <row r="540" spans="1:26" ht="15.75" customHeight="1">
      <c r="A540" s="90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</row>
    <row r="541" spans="1:26" ht="15.75" customHeight="1">
      <c r="A541" s="90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</row>
    <row r="542" spans="1:26" ht="15.75" customHeight="1">
      <c r="A542" s="90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</row>
    <row r="543" spans="1:26" ht="15.75" customHeight="1">
      <c r="A543" s="90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</row>
    <row r="544" spans="1:26" ht="15.75" customHeight="1">
      <c r="A544" s="90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</row>
    <row r="545" spans="1:26" ht="15.75" customHeight="1">
      <c r="A545" s="90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</row>
    <row r="546" spans="1:26" ht="15.75" customHeight="1">
      <c r="A546" s="90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</row>
    <row r="547" spans="1:26" ht="15.75" customHeight="1">
      <c r="A547" s="90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</row>
    <row r="548" spans="1:26" ht="15.75" customHeight="1">
      <c r="A548" s="90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</row>
    <row r="549" spans="1:26" ht="15.75" customHeight="1">
      <c r="A549" s="90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</row>
    <row r="550" spans="1:26" ht="15.75" customHeight="1">
      <c r="A550" s="90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</row>
    <row r="551" spans="1:26" ht="15.75" customHeight="1">
      <c r="A551" s="90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</row>
    <row r="552" spans="1:26" ht="15.75" customHeight="1">
      <c r="A552" s="90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</row>
    <row r="553" spans="1:26" ht="15.75" customHeight="1">
      <c r="A553" s="90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</row>
    <row r="554" spans="1:26" ht="15.75" customHeight="1">
      <c r="A554" s="90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</row>
    <row r="555" spans="1:26" ht="15.75" customHeight="1">
      <c r="A555" s="90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</row>
    <row r="556" spans="1:26" ht="15.75" customHeight="1">
      <c r="A556" s="90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</row>
    <row r="557" spans="1:26" ht="15.75" customHeight="1">
      <c r="A557" s="90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</row>
    <row r="558" spans="1:26" ht="15.75" customHeight="1">
      <c r="A558" s="90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</row>
    <row r="559" spans="1:26" ht="15.75" customHeight="1">
      <c r="A559" s="90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</row>
    <row r="560" spans="1:26" ht="15.75" customHeight="1">
      <c r="A560" s="90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</row>
    <row r="561" spans="1:26" ht="15.75" customHeight="1">
      <c r="A561" s="90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</row>
    <row r="562" spans="1:26" ht="15.75" customHeight="1">
      <c r="A562" s="90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</row>
    <row r="563" spans="1:26" ht="15.75" customHeight="1">
      <c r="A563" s="90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</row>
    <row r="564" spans="1:26" ht="15.75" customHeight="1">
      <c r="A564" s="90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</row>
    <row r="565" spans="1:26" ht="15.75" customHeight="1">
      <c r="A565" s="90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</row>
    <row r="566" spans="1:26" ht="15.75" customHeight="1">
      <c r="A566" s="90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</row>
    <row r="567" spans="1:26" ht="15.75" customHeight="1">
      <c r="A567" s="90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</row>
    <row r="568" spans="1:26" ht="15.75" customHeight="1">
      <c r="A568" s="90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</row>
    <row r="569" spans="1:26" ht="15.75" customHeight="1">
      <c r="A569" s="90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</row>
    <row r="570" spans="1:26" ht="15.75" customHeight="1">
      <c r="A570" s="90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</row>
    <row r="571" spans="1:26" ht="15.75" customHeight="1">
      <c r="A571" s="90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</row>
    <row r="572" spans="1:26" ht="15.75" customHeight="1">
      <c r="A572" s="90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</row>
    <row r="573" spans="1:26" ht="15.75" customHeight="1">
      <c r="A573" s="90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</row>
    <row r="574" spans="1:26" ht="15.75" customHeight="1">
      <c r="A574" s="90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</row>
    <row r="575" spans="1:26" ht="15.75" customHeight="1">
      <c r="A575" s="90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</row>
    <row r="576" spans="1:26" ht="15.75" customHeight="1">
      <c r="A576" s="90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</row>
    <row r="577" spans="1:26" ht="15.75" customHeight="1">
      <c r="A577" s="90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</row>
    <row r="578" spans="1:26" ht="15.75" customHeight="1">
      <c r="A578" s="90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</row>
    <row r="579" spans="1:26" ht="15.75" customHeight="1">
      <c r="A579" s="90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</row>
    <row r="580" spans="1:26" ht="15.75" customHeight="1">
      <c r="A580" s="90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</row>
    <row r="581" spans="1:26" ht="15.75" customHeight="1">
      <c r="A581" s="90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</row>
    <row r="582" spans="1:26" ht="15.75" customHeight="1">
      <c r="A582" s="90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</row>
    <row r="583" spans="1:26" ht="15.75" customHeight="1">
      <c r="A583" s="90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</row>
    <row r="584" spans="1:26" ht="15.75" customHeight="1">
      <c r="A584" s="90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</row>
    <row r="585" spans="1:26" ht="15.75" customHeight="1">
      <c r="A585" s="90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</row>
    <row r="586" spans="1:26" ht="15.75" customHeight="1">
      <c r="A586" s="90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</row>
    <row r="587" spans="1:26" ht="15.75" customHeight="1">
      <c r="A587" s="90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</row>
    <row r="588" spans="1:26" ht="15.75" customHeight="1">
      <c r="A588" s="90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</row>
    <row r="589" spans="1:26" ht="15.75" customHeight="1">
      <c r="A589" s="90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</row>
    <row r="590" spans="1:26" ht="15.75" customHeight="1">
      <c r="A590" s="90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</row>
    <row r="591" spans="1:26" ht="15.75" customHeight="1">
      <c r="A591" s="90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</row>
    <row r="592" spans="1:26" ht="15.75" customHeight="1">
      <c r="A592" s="90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</row>
    <row r="593" spans="1:26" ht="15.75" customHeight="1">
      <c r="A593" s="90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</row>
    <row r="594" spans="1:26" ht="15.75" customHeight="1">
      <c r="A594" s="90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</row>
    <row r="595" spans="1:26" ht="15.75" customHeight="1">
      <c r="A595" s="90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</row>
    <row r="596" spans="1:26" ht="15.75" customHeight="1">
      <c r="A596" s="90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</row>
    <row r="597" spans="1:26" ht="15.75" customHeight="1">
      <c r="A597" s="90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</row>
    <row r="598" spans="1:26" ht="15.75" customHeight="1">
      <c r="A598" s="90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</row>
    <row r="599" spans="1:26" ht="15.75" customHeight="1">
      <c r="A599" s="90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</row>
    <row r="600" spans="1:26" ht="15.75" customHeight="1">
      <c r="A600" s="90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</row>
    <row r="601" spans="1:26" ht="15.75" customHeight="1">
      <c r="A601" s="90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</row>
    <row r="602" spans="1:26" ht="15.75" customHeight="1">
      <c r="A602" s="90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</row>
    <row r="603" spans="1:26" ht="15.75" customHeight="1">
      <c r="A603" s="90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</row>
    <row r="604" spans="1:26" ht="15.75" customHeight="1">
      <c r="A604" s="90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</row>
    <row r="605" spans="1:26" ht="15.75" customHeight="1">
      <c r="A605" s="90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</row>
    <row r="606" spans="1:26" ht="15.75" customHeight="1">
      <c r="A606" s="90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</row>
    <row r="607" spans="1:26" ht="15.75" customHeight="1">
      <c r="A607" s="90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</row>
    <row r="608" spans="1:26" ht="15.75" customHeight="1">
      <c r="A608" s="90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</row>
    <row r="609" spans="1:26" ht="15.75" customHeight="1">
      <c r="A609" s="90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</row>
    <row r="610" spans="1:26" ht="15.75" customHeight="1">
      <c r="A610" s="90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</row>
    <row r="611" spans="1:26" ht="15.75" customHeight="1">
      <c r="A611" s="90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</row>
    <row r="612" spans="1:26" ht="15.75" customHeight="1">
      <c r="A612" s="90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</row>
    <row r="613" spans="1:26" ht="15.75" customHeight="1">
      <c r="A613" s="90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</row>
    <row r="614" spans="1:26" ht="15.75" customHeight="1">
      <c r="A614" s="90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</row>
    <row r="615" spans="1:26" ht="15.75" customHeight="1">
      <c r="A615" s="90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</row>
    <row r="616" spans="1:26" ht="15.75" customHeight="1">
      <c r="A616" s="90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</row>
    <row r="617" spans="1:26" ht="15.75" customHeight="1">
      <c r="A617" s="90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</row>
    <row r="618" spans="1:26" ht="15.75" customHeight="1">
      <c r="A618" s="90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</row>
    <row r="619" spans="1:26" ht="15.75" customHeight="1">
      <c r="A619" s="90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</row>
    <row r="620" spans="1:26" ht="15.75" customHeight="1">
      <c r="A620" s="90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</row>
    <row r="621" spans="1:26" ht="15.75" customHeight="1">
      <c r="A621" s="90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</row>
    <row r="622" spans="1:26" ht="15.75" customHeight="1">
      <c r="A622" s="90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</row>
    <row r="623" spans="1:26" ht="15.75" customHeight="1">
      <c r="A623" s="90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</row>
    <row r="624" spans="1:26" ht="15.75" customHeight="1">
      <c r="A624" s="90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</row>
    <row r="625" spans="1:26" ht="15.75" customHeight="1">
      <c r="A625" s="90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</row>
    <row r="626" spans="1:26" ht="15.75" customHeight="1">
      <c r="A626" s="90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</row>
    <row r="627" spans="1:26" ht="15.75" customHeight="1">
      <c r="A627" s="90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</row>
    <row r="628" spans="1:26" ht="15.75" customHeight="1">
      <c r="A628" s="90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</row>
    <row r="629" spans="1:26" ht="15.75" customHeight="1">
      <c r="A629" s="90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</row>
    <row r="630" spans="1:26" ht="15.75" customHeight="1">
      <c r="A630" s="90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</row>
    <row r="631" spans="1:26" ht="15.75" customHeight="1">
      <c r="A631" s="90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</row>
    <row r="632" spans="1:26" ht="15.75" customHeight="1">
      <c r="A632" s="90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</row>
    <row r="633" spans="1:26" ht="15.75" customHeight="1">
      <c r="A633" s="90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</row>
    <row r="634" spans="1:26" ht="15.75" customHeight="1">
      <c r="A634" s="90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</row>
    <row r="635" spans="1:26" ht="15.75" customHeight="1">
      <c r="A635" s="90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</row>
    <row r="636" spans="1:26" ht="15.75" customHeight="1">
      <c r="A636" s="90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</row>
    <row r="637" spans="1:26" ht="15.75" customHeight="1">
      <c r="A637" s="90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</row>
    <row r="638" spans="1:26" ht="15.75" customHeight="1">
      <c r="A638" s="90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</row>
    <row r="639" spans="1:26" ht="15.75" customHeight="1">
      <c r="A639" s="90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</row>
    <row r="640" spans="1:26" ht="15.75" customHeight="1">
      <c r="A640" s="90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</row>
    <row r="641" spans="1:26" ht="15.75" customHeight="1">
      <c r="A641" s="90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</row>
    <row r="642" spans="1:26" ht="15.75" customHeight="1">
      <c r="A642" s="90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</row>
    <row r="643" spans="1:26" ht="15.75" customHeight="1">
      <c r="A643" s="90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</row>
    <row r="644" spans="1:26" ht="15.75" customHeight="1">
      <c r="A644" s="90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</row>
    <row r="645" spans="1:26" ht="15.75" customHeight="1">
      <c r="A645" s="90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</row>
    <row r="646" spans="1:26" ht="15.75" customHeight="1">
      <c r="A646" s="90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</row>
    <row r="647" spans="1:26" ht="15.75" customHeight="1">
      <c r="A647" s="90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</row>
    <row r="648" spans="1:26" ht="15.75" customHeight="1">
      <c r="A648" s="90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</row>
    <row r="649" spans="1:26" ht="15.75" customHeight="1">
      <c r="A649" s="90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</row>
    <row r="650" spans="1:26" ht="15.75" customHeight="1">
      <c r="A650" s="90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</row>
    <row r="651" spans="1:26" ht="15.75" customHeight="1">
      <c r="A651" s="90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</row>
    <row r="652" spans="1:26" ht="15.75" customHeight="1">
      <c r="A652" s="90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</row>
    <row r="653" spans="1:26" ht="15.75" customHeight="1">
      <c r="A653" s="90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</row>
    <row r="654" spans="1:26" ht="15.75" customHeight="1">
      <c r="A654" s="90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</row>
    <row r="655" spans="1:26" ht="15.75" customHeight="1">
      <c r="A655" s="90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</row>
    <row r="656" spans="1:26" ht="15.75" customHeight="1">
      <c r="A656" s="90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</row>
    <row r="657" spans="1:26" ht="15.75" customHeight="1">
      <c r="A657" s="90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</row>
    <row r="658" spans="1:26" ht="15.75" customHeight="1">
      <c r="A658" s="90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</row>
    <row r="659" spans="1:26" ht="15.75" customHeight="1">
      <c r="A659" s="90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</row>
    <row r="660" spans="1:26" ht="15.75" customHeight="1">
      <c r="A660" s="90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</row>
    <row r="661" spans="1:26" ht="15.75" customHeight="1">
      <c r="A661" s="90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</row>
    <row r="662" spans="1:26" ht="15.75" customHeight="1">
      <c r="A662" s="90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</row>
    <row r="663" spans="1:26" ht="15.75" customHeight="1">
      <c r="A663" s="90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</row>
    <row r="664" spans="1:26" ht="15.75" customHeight="1">
      <c r="A664" s="90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</row>
    <row r="665" spans="1:26" ht="15.75" customHeight="1">
      <c r="A665" s="90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</row>
    <row r="666" spans="1:26" ht="15.75" customHeight="1">
      <c r="A666" s="90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</row>
    <row r="667" spans="1:26" ht="15.75" customHeight="1">
      <c r="A667" s="90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</row>
    <row r="668" spans="1:26" ht="15.75" customHeight="1">
      <c r="A668" s="90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</row>
    <row r="669" spans="1:26" ht="15.75" customHeight="1">
      <c r="A669" s="90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</row>
    <row r="670" spans="1:26" ht="15.75" customHeight="1">
      <c r="A670" s="90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</row>
    <row r="671" spans="1:26" ht="15.75" customHeight="1">
      <c r="A671" s="90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</row>
    <row r="672" spans="1:26" ht="15.75" customHeight="1">
      <c r="A672" s="90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</row>
    <row r="673" spans="1:26" ht="15.75" customHeight="1">
      <c r="A673" s="90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</row>
    <row r="674" spans="1:26" ht="15.75" customHeight="1">
      <c r="A674" s="90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</row>
    <row r="675" spans="1:26" ht="15.75" customHeight="1">
      <c r="A675" s="90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</row>
    <row r="676" spans="1:26" ht="15.75" customHeight="1">
      <c r="A676" s="90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</row>
    <row r="677" spans="1:26" ht="15.75" customHeight="1">
      <c r="A677" s="90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</row>
    <row r="678" spans="1:26" ht="15.75" customHeight="1">
      <c r="A678" s="90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</row>
    <row r="679" spans="1:26" ht="15.75" customHeight="1">
      <c r="A679" s="90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</row>
    <row r="680" spans="1:26" ht="15.75" customHeight="1">
      <c r="A680" s="90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</row>
    <row r="681" spans="1:26" ht="15.75" customHeight="1">
      <c r="A681" s="90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</row>
    <row r="682" spans="1:26" ht="15.75" customHeight="1">
      <c r="A682" s="90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</row>
    <row r="683" spans="1:26" ht="15.75" customHeight="1">
      <c r="A683" s="90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</row>
    <row r="684" spans="1:26" ht="15.75" customHeight="1">
      <c r="A684" s="90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</row>
    <row r="685" spans="1:26" ht="15.75" customHeight="1">
      <c r="A685" s="90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</row>
    <row r="686" spans="1:26" ht="15.75" customHeight="1">
      <c r="A686" s="90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</row>
    <row r="687" spans="1:26" ht="15.75" customHeight="1">
      <c r="A687" s="90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</row>
    <row r="688" spans="1:26" ht="15.75" customHeight="1">
      <c r="A688" s="90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</row>
    <row r="689" spans="1:26" ht="15.75" customHeight="1">
      <c r="A689" s="90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</row>
    <row r="690" spans="1:26" ht="15.75" customHeight="1">
      <c r="A690" s="90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</row>
    <row r="691" spans="1:26" ht="15.75" customHeight="1">
      <c r="A691" s="90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</row>
    <row r="692" spans="1:26" ht="15.75" customHeight="1">
      <c r="A692" s="90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</row>
    <row r="693" spans="1:26" ht="15.75" customHeight="1">
      <c r="A693" s="90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</row>
    <row r="694" spans="1:26" ht="15.75" customHeight="1">
      <c r="A694" s="90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</row>
    <row r="695" spans="1:26" ht="15.75" customHeight="1">
      <c r="A695" s="90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</row>
    <row r="696" spans="1:26" ht="15.75" customHeight="1">
      <c r="A696" s="90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</row>
    <row r="697" spans="1:26" ht="15.75" customHeight="1">
      <c r="A697" s="90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</row>
    <row r="698" spans="1:26" ht="15.75" customHeight="1">
      <c r="A698" s="90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</row>
    <row r="699" spans="1:26" ht="15.75" customHeight="1">
      <c r="A699" s="90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</row>
    <row r="700" spans="1:26" ht="15.75" customHeight="1">
      <c r="A700" s="90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</row>
    <row r="701" spans="1:26" ht="15.75" customHeight="1">
      <c r="A701" s="90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</row>
    <row r="702" spans="1:26" ht="15.75" customHeight="1">
      <c r="A702" s="90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</row>
    <row r="703" spans="1:26" ht="15.75" customHeight="1">
      <c r="A703" s="90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</row>
    <row r="704" spans="1:26" ht="15.75" customHeight="1">
      <c r="A704" s="90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</row>
    <row r="705" spans="1:26" ht="15.75" customHeight="1">
      <c r="A705" s="90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</row>
    <row r="706" spans="1:26" ht="15.75" customHeight="1">
      <c r="A706" s="90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</row>
    <row r="707" spans="1:26" ht="15.75" customHeight="1">
      <c r="A707" s="90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</row>
    <row r="708" spans="1:26" ht="15.75" customHeight="1">
      <c r="A708" s="90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</row>
    <row r="709" spans="1:26" ht="15.75" customHeight="1">
      <c r="A709" s="90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</row>
    <row r="710" spans="1:26" ht="15.75" customHeight="1">
      <c r="A710" s="90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</row>
    <row r="711" spans="1:26" ht="15.75" customHeight="1">
      <c r="A711" s="90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</row>
    <row r="712" spans="1:26" ht="15.75" customHeight="1">
      <c r="A712" s="90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</row>
    <row r="713" spans="1:26" ht="15.75" customHeight="1">
      <c r="A713" s="90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</row>
    <row r="714" spans="1:26" ht="15.75" customHeight="1">
      <c r="A714" s="90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</row>
    <row r="715" spans="1:26" ht="15.75" customHeight="1">
      <c r="A715" s="90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</row>
    <row r="716" spans="1:26" ht="15.75" customHeight="1">
      <c r="A716" s="90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</row>
    <row r="717" spans="1:26" ht="15.75" customHeight="1">
      <c r="A717" s="90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</row>
    <row r="718" spans="1:26" ht="15.75" customHeight="1">
      <c r="A718" s="90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</row>
    <row r="719" spans="1:26" ht="15.75" customHeight="1">
      <c r="A719" s="90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</row>
    <row r="720" spans="1:26" ht="15.75" customHeight="1">
      <c r="A720" s="90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</row>
    <row r="721" spans="1:26" ht="15.75" customHeight="1">
      <c r="A721" s="90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</row>
    <row r="722" spans="1:26" ht="15.75" customHeight="1">
      <c r="A722" s="90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</row>
    <row r="723" spans="1:26" ht="15.75" customHeight="1">
      <c r="A723" s="90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</row>
    <row r="724" spans="1:26" ht="15.75" customHeight="1">
      <c r="A724" s="90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</row>
    <row r="725" spans="1:26" ht="15.75" customHeight="1">
      <c r="A725" s="90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</row>
    <row r="726" spans="1:26" ht="15.75" customHeight="1">
      <c r="A726" s="90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</row>
    <row r="727" spans="1:26" ht="15.75" customHeight="1">
      <c r="A727" s="90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</row>
    <row r="728" spans="1:26" ht="15.75" customHeight="1">
      <c r="A728" s="90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</row>
    <row r="729" spans="1:26" ht="15.75" customHeight="1">
      <c r="A729" s="90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</row>
    <row r="730" spans="1:26" ht="15.75" customHeight="1">
      <c r="A730" s="90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</row>
    <row r="731" spans="1:26" ht="15.75" customHeight="1">
      <c r="A731" s="90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</row>
    <row r="732" spans="1:26" ht="15.75" customHeight="1">
      <c r="A732" s="90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</row>
    <row r="733" spans="1:26" ht="15.75" customHeight="1">
      <c r="A733" s="90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</row>
    <row r="734" spans="1:26" ht="15.75" customHeight="1">
      <c r="A734" s="90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</row>
    <row r="735" spans="1:26" ht="15.75" customHeight="1">
      <c r="A735" s="90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</row>
    <row r="736" spans="1:26" ht="15.75" customHeight="1">
      <c r="A736" s="90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</row>
    <row r="737" spans="1:26" ht="15.75" customHeight="1">
      <c r="A737" s="90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</row>
    <row r="738" spans="1:26" ht="15.75" customHeight="1">
      <c r="A738" s="90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</row>
    <row r="739" spans="1:26" ht="15.75" customHeight="1">
      <c r="A739" s="90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</row>
    <row r="740" spans="1:26" ht="15.75" customHeight="1">
      <c r="A740" s="90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</row>
    <row r="741" spans="1:26" ht="15.75" customHeight="1">
      <c r="A741" s="90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</row>
    <row r="742" spans="1:26" ht="15.75" customHeight="1">
      <c r="A742" s="90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</row>
    <row r="743" spans="1:26" ht="15.75" customHeight="1">
      <c r="A743" s="90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</row>
    <row r="744" spans="1:26" ht="15.75" customHeight="1">
      <c r="A744" s="90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</row>
    <row r="745" spans="1:26" ht="15.75" customHeight="1">
      <c r="A745" s="90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</row>
    <row r="746" spans="1:26" ht="15.75" customHeight="1">
      <c r="A746" s="90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</row>
    <row r="747" spans="1:26" ht="15.75" customHeight="1">
      <c r="A747" s="90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</row>
    <row r="748" spans="1:26" ht="15.75" customHeight="1">
      <c r="A748" s="90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</row>
    <row r="749" spans="1:26" ht="15.75" customHeight="1">
      <c r="A749" s="90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</row>
    <row r="750" spans="1:26" ht="15.75" customHeight="1">
      <c r="A750" s="90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</row>
    <row r="751" spans="1:26" ht="15.75" customHeight="1">
      <c r="A751" s="90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</row>
    <row r="752" spans="1:26" ht="15.75" customHeight="1">
      <c r="A752" s="90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</row>
    <row r="753" spans="1:26" ht="15.75" customHeight="1">
      <c r="A753" s="90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</row>
    <row r="754" spans="1:26" ht="15.75" customHeight="1">
      <c r="A754" s="90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</row>
    <row r="755" spans="1:26" ht="15.75" customHeight="1">
      <c r="A755" s="90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</row>
    <row r="756" spans="1:26" ht="15.75" customHeight="1">
      <c r="A756" s="90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</row>
    <row r="757" spans="1:26" ht="15.75" customHeight="1">
      <c r="A757" s="90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</row>
    <row r="758" spans="1:26" ht="15.75" customHeight="1">
      <c r="A758" s="90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</row>
    <row r="759" spans="1:26" ht="15.75" customHeight="1">
      <c r="A759" s="90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</row>
    <row r="760" spans="1:26" ht="15.75" customHeight="1">
      <c r="A760" s="90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</row>
    <row r="761" spans="1:26" ht="15.75" customHeight="1">
      <c r="A761" s="90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</row>
    <row r="762" spans="1:26" ht="15.75" customHeight="1">
      <c r="A762" s="90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</row>
    <row r="763" spans="1:26" ht="15.75" customHeight="1">
      <c r="A763" s="90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</row>
    <row r="764" spans="1:26" ht="15.75" customHeight="1">
      <c r="A764" s="90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</row>
    <row r="765" spans="1:26" ht="15.75" customHeight="1">
      <c r="A765" s="90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</row>
    <row r="766" spans="1:26" ht="15.75" customHeight="1">
      <c r="A766" s="90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</row>
    <row r="767" spans="1:26" ht="15.75" customHeight="1">
      <c r="A767" s="90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</row>
    <row r="768" spans="1:26" ht="15.75" customHeight="1">
      <c r="A768" s="90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</row>
    <row r="769" spans="1:26" ht="15.75" customHeight="1">
      <c r="A769" s="90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</row>
    <row r="770" spans="1:26" ht="15.75" customHeight="1">
      <c r="A770" s="90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</row>
    <row r="771" spans="1:26" ht="15.75" customHeight="1">
      <c r="A771" s="90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</row>
    <row r="772" spans="1:26" ht="15.75" customHeight="1">
      <c r="A772" s="90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</row>
    <row r="773" spans="1:26" ht="15.75" customHeight="1">
      <c r="A773" s="90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</row>
    <row r="774" spans="1:26" ht="15.75" customHeight="1">
      <c r="A774" s="90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</row>
    <row r="775" spans="1:26" ht="15.75" customHeight="1">
      <c r="A775" s="90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</row>
    <row r="776" spans="1:26" ht="15.75" customHeight="1">
      <c r="A776" s="90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</row>
    <row r="777" spans="1:26" ht="15.75" customHeight="1">
      <c r="A777" s="90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</row>
    <row r="778" spans="1:26" ht="15.75" customHeight="1">
      <c r="A778" s="90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</row>
    <row r="779" spans="1:26" ht="15.75" customHeight="1">
      <c r="A779" s="90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</row>
    <row r="780" spans="1:26" ht="15.75" customHeight="1">
      <c r="A780" s="90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</row>
    <row r="781" spans="1:26" ht="15.75" customHeight="1">
      <c r="A781" s="90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</row>
    <row r="782" spans="1:26" ht="15.75" customHeight="1">
      <c r="A782" s="90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</row>
    <row r="783" spans="1:26" ht="15.75" customHeight="1">
      <c r="A783" s="90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</row>
    <row r="784" spans="1:26" ht="15.75" customHeight="1">
      <c r="A784" s="90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</row>
    <row r="785" spans="1:26" ht="15.75" customHeight="1">
      <c r="A785" s="90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</row>
    <row r="786" spans="1:26" ht="15.75" customHeight="1">
      <c r="A786" s="90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</row>
    <row r="787" spans="1:26" ht="15.75" customHeight="1">
      <c r="A787" s="90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</row>
    <row r="788" spans="1:26" ht="15.75" customHeight="1">
      <c r="A788" s="90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</row>
    <row r="789" spans="1:26" ht="15.75" customHeight="1">
      <c r="A789" s="90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</row>
    <row r="790" spans="1:26" ht="15.75" customHeight="1">
      <c r="A790" s="90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</row>
    <row r="791" spans="1:26" ht="15.75" customHeight="1">
      <c r="A791" s="90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</row>
    <row r="792" spans="1:26" ht="15.75" customHeight="1">
      <c r="A792" s="90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</row>
    <row r="793" spans="1:26" ht="15.75" customHeight="1">
      <c r="A793" s="90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</row>
    <row r="794" spans="1:26" ht="15.75" customHeight="1">
      <c r="A794" s="90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</row>
    <row r="795" spans="1:26" ht="15.75" customHeight="1">
      <c r="A795" s="90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</row>
    <row r="796" spans="1:26" ht="15.75" customHeight="1">
      <c r="A796" s="90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</row>
    <row r="797" spans="1:26" ht="15.75" customHeight="1">
      <c r="A797" s="90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</row>
    <row r="798" spans="1:26" ht="15.75" customHeight="1">
      <c r="A798" s="90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</row>
    <row r="799" spans="1:26" ht="15.75" customHeight="1">
      <c r="A799" s="90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</row>
    <row r="800" spans="1:26" ht="15.75" customHeight="1">
      <c r="A800" s="90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</row>
    <row r="801" spans="1:26" ht="15.75" customHeight="1">
      <c r="A801" s="90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</row>
    <row r="802" spans="1:26" ht="15.75" customHeight="1">
      <c r="A802" s="90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</row>
    <row r="803" spans="1:26" ht="15.75" customHeight="1">
      <c r="A803" s="90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</row>
    <row r="804" spans="1:26" ht="15.75" customHeight="1">
      <c r="A804" s="90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</row>
    <row r="805" spans="1:26" ht="15.75" customHeight="1">
      <c r="A805" s="90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</row>
    <row r="806" spans="1:26" ht="15.75" customHeight="1">
      <c r="A806" s="90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</row>
    <row r="807" spans="1:26" ht="15.75" customHeight="1">
      <c r="A807" s="90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</row>
    <row r="808" spans="1:26" ht="15.75" customHeight="1">
      <c r="A808" s="90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</row>
    <row r="809" spans="1:26" ht="15.75" customHeight="1">
      <c r="A809" s="90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</row>
    <row r="810" spans="1:26" ht="15.75" customHeight="1">
      <c r="A810" s="90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</row>
    <row r="811" spans="1:26" ht="15.75" customHeight="1">
      <c r="A811" s="90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</row>
    <row r="812" spans="1:26" ht="15.75" customHeight="1">
      <c r="A812" s="90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</row>
    <row r="813" spans="1:26" ht="15.75" customHeight="1">
      <c r="A813" s="90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</row>
    <row r="814" spans="1:26" ht="15.75" customHeight="1">
      <c r="A814" s="90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</row>
    <row r="815" spans="1:26" ht="15.75" customHeight="1">
      <c r="A815" s="90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</row>
    <row r="816" spans="1:26" ht="15.75" customHeight="1">
      <c r="A816" s="90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</row>
    <row r="817" spans="1:26" ht="15.75" customHeight="1">
      <c r="A817" s="90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</row>
    <row r="818" spans="1:26" ht="15.75" customHeight="1">
      <c r="A818" s="90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</row>
    <row r="819" spans="1:26" ht="15.75" customHeight="1">
      <c r="A819" s="90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</row>
    <row r="820" spans="1:26" ht="15.75" customHeight="1">
      <c r="A820" s="90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</row>
    <row r="821" spans="1:26" ht="15.75" customHeight="1">
      <c r="A821" s="90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</row>
    <row r="822" spans="1:26" ht="15.75" customHeight="1">
      <c r="A822" s="90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</row>
    <row r="823" spans="1:26" ht="15.75" customHeight="1">
      <c r="A823" s="90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</row>
    <row r="824" spans="1:26" ht="15.75" customHeight="1">
      <c r="A824" s="90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</row>
    <row r="825" spans="1:26" ht="15.75" customHeight="1">
      <c r="A825" s="90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</row>
    <row r="826" spans="1:26" ht="15.75" customHeight="1">
      <c r="A826" s="90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</row>
    <row r="827" spans="1:26" ht="15.75" customHeight="1">
      <c r="A827" s="90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</row>
    <row r="828" spans="1:26" ht="15.75" customHeight="1">
      <c r="A828" s="90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</row>
    <row r="829" spans="1:26" ht="15.75" customHeight="1">
      <c r="A829" s="90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</row>
    <row r="830" spans="1:26" ht="15.75" customHeight="1">
      <c r="A830" s="90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</row>
    <row r="831" spans="1:26" ht="15.75" customHeight="1">
      <c r="A831" s="90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</row>
    <row r="832" spans="1:26" ht="15.75" customHeight="1">
      <c r="A832" s="90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</row>
    <row r="833" spans="1:26" ht="15.75" customHeight="1">
      <c r="A833" s="90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</row>
    <row r="834" spans="1:26" ht="15.75" customHeight="1">
      <c r="A834" s="90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</row>
    <row r="835" spans="1:26" ht="15.75" customHeight="1">
      <c r="A835" s="90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</row>
    <row r="836" spans="1:26" ht="15.75" customHeight="1">
      <c r="A836" s="90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</row>
    <row r="837" spans="1:26" ht="15.75" customHeight="1">
      <c r="A837" s="90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</row>
    <row r="838" spans="1:26" ht="15.75" customHeight="1">
      <c r="A838" s="90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</row>
    <row r="839" spans="1:26" ht="15.75" customHeight="1">
      <c r="A839" s="90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</row>
    <row r="840" spans="1:26" ht="15.75" customHeight="1">
      <c r="A840" s="90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</row>
    <row r="841" spans="1:26" ht="15.75" customHeight="1">
      <c r="A841" s="90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</row>
    <row r="842" spans="1:26" ht="15.75" customHeight="1">
      <c r="A842" s="90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</row>
    <row r="843" spans="1:26" ht="15.75" customHeight="1">
      <c r="A843" s="90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</row>
    <row r="844" spans="1:26" ht="15.75" customHeight="1">
      <c r="A844" s="90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</row>
    <row r="845" spans="1:26" ht="15.75" customHeight="1">
      <c r="A845" s="90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</row>
    <row r="846" spans="1:26" ht="15.75" customHeight="1">
      <c r="A846" s="90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</row>
    <row r="847" spans="1:26" ht="15.75" customHeight="1">
      <c r="A847" s="90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</row>
    <row r="848" spans="1:26" ht="15.75" customHeight="1">
      <c r="A848" s="90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</row>
    <row r="849" spans="1:26" ht="15.75" customHeight="1">
      <c r="A849" s="90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</row>
    <row r="850" spans="1:26" ht="15.75" customHeight="1">
      <c r="A850" s="90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</row>
    <row r="851" spans="1:26" ht="15.75" customHeight="1">
      <c r="A851" s="90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</row>
    <row r="852" spans="1:26" ht="15.75" customHeight="1">
      <c r="A852" s="90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</row>
    <row r="853" spans="1:26" ht="15.75" customHeight="1">
      <c r="A853" s="90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</row>
    <row r="854" spans="1:26" ht="15.75" customHeight="1">
      <c r="A854" s="90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</row>
    <row r="855" spans="1:26" ht="15.75" customHeight="1">
      <c r="A855" s="90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</row>
    <row r="856" spans="1:26" ht="15.75" customHeight="1">
      <c r="A856" s="90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</row>
    <row r="857" spans="1:26" ht="15.75" customHeight="1">
      <c r="A857" s="90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</row>
    <row r="858" spans="1:26" ht="15.75" customHeight="1">
      <c r="A858" s="90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</row>
    <row r="859" spans="1:26" ht="15.75" customHeight="1">
      <c r="A859" s="90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</row>
    <row r="860" spans="1:26" ht="15.75" customHeight="1">
      <c r="A860" s="90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</row>
    <row r="861" spans="1:26" ht="15.75" customHeight="1">
      <c r="A861" s="90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</row>
    <row r="862" spans="1:26" ht="15.75" customHeight="1">
      <c r="A862" s="90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</row>
    <row r="863" spans="1:26" ht="15.75" customHeight="1">
      <c r="A863" s="90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</row>
    <row r="864" spans="1:26" ht="15.75" customHeight="1">
      <c r="A864" s="90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</row>
    <row r="865" spans="1:26" ht="15.75" customHeight="1">
      <c r="A865" s="90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</row>
    <row r="866" spans="1:26" ht="15.75" customHeight="1">
      <c r="A866" s="90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</row>
    <row r="867" spans="1:26" ht="15.75" customHeight="1">
      <c r="A867" s="90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</row>
    <row r="868" spans="1:26" ht="15.75" customHeight="1">
      <c r="A868" s="90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</row>
    <row r="869" spans="1:26" ht="15.75" customHeight="1">
      <c r="A869" s="90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</row>
    <row r="870" spans="1:26" ht="15.75" customHeight="1">
      <c r="A870" s="90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</row>
    <row r="871" spans="1:26" ht="15.75" customHeight="1">
      <c r="A871" s="90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</row>
    <row r="872" spans="1:26" ht="15.75" customHeight="1">
      <c r="A872" s="90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</row>
    <row r="873" spans="1:26" ht="15.75" customHeight="1">
      <c r="A873" s="90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</row>
    <row r="874" spans="1:26" ht="15.75" customHeight="1">
      <c r="A874" s="90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</row>
    <row r="875" spans="1:26" ht="15.75" customHeight="1">
      <c r="A875" s="90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</row>
    <row r="876" spans="1:26" ht="15.75" customHeight="1">
      <c r="A876" s="90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</row>
    <row r="877" spans="1:26" ht="15.75" customHeight="1">
      <c r="A877" s="90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</row>
    <row r="878" spans="1:26" ht="15.75" customHeight="1">
      <c r="A878" s="90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</row>
    <row r="879" spans="1:26" ht="15.75" customHeight="1">
      <c r="A879" s="90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</row>
    <row r="880" spans="1:26" ht="15.75" customHeight="1">
      <c r="A880" s="90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</row>
    <row r="881" spans="1:26" ht="15.75" customHeight="1">
      <c r="A881" s="90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</row>
    <row r="882" spans="1:26" ht="15.75" customHeight="1">
      <c r="A882" s="90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</row>
    <row r="883" spans="1:26" ht="15.75" customHeight="1">
      <c r="A883" s="90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</row>
    <row r="884" spans="1:26" ht="15.75" customHeight="1">
      <c r="A884" s="90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</row>
    <row r="885" spans="1:26" ht="15.75" customHeight="1">
      <c r="A885" s="90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</row>
    <row r="886" spans="1:26" ht="15.75" customHeight="1">
      <c r="A886" s="90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</row>
    <row r="887" spans="1:26" ht="15.75" customHeight="1">
      <c r="A887" s="90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</row>
    <row r="888" spans="1:26" ht="15.75" customHeight="1">
      <c r="A888" s="90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</row>
    <row r="889" spans="1:26" ht="15.75" customHeight="1">
      <c r="A889" s="90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</row>
    <row r="890" spans="1:26" ht="15.75" customHeight="1">
      <c r="A890" s="90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</row>
    <row r="891" spans="1:26" ht="15.75" customHeight="1">
      <c r="A891" s="90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</row>
    <row r="892" spans="1:26" ht="15.75" customHeight="1">
      <c r="A892" s="90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</row>
    <row r="893" spans="1:26" ht="15.75" customHeight="1">
      <c r="A893" s="90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</row>
    <row r="894" spans="1:26" ht="15.75" customHeight="1">
      <c r="A894" s="90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</row>
    <row r="895" spans="1:26" ht="15.75" customHeight="1">
      <c r="A895" s="90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</row>
    <row r="896" spans="1:26" ht="15.75" customHeight="1">
      <c r="A896" s="90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</row>
    <row r="897" spans="1:26" ht="15.75" customHeight="1">
      <c r="A897" s="90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</row>
    <row r="898" spans="1:26" ht="15.75" customHeight="1">
      <c r="A898" s="90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</row>
    <row r="899" spans="1:26" ht="15.75" customHeight="1">
      <c r="A899" s="90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</row>
    <row r="900" spans="1:26" ht="15.75" customHeight="1">
      <c r="A900" s="90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</row>
    <row r="901" spans="1:26" ht="15.75" customHeight="1">
      <c r="A901" s="90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</row>
    <row r="902" spans="1:26" ht="15.75" customHeight="1">
      <c r="A902" s="90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</row>
    <row r="903" spans="1:26" ht="15.75" customHeight="1">
      <c r="A903" s="90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</row>
    <row r="904" spans="1:26" ht="15.75" customHeight="1">
      <c r="A904" s="90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</row>
    <row r="905" spans="1:26" ht="15.75" customHeight="1">
      <c r="A905" s="90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</row>
    <row r="906" spans="1:26" ht="15.75" customHeight="1">
      <c r="A906" s="90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</row>
    <row r="907" spans="1:26" ht="15.75" customHeight="1">
      <c r="A907" s="90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</row>
    <row r="908" spans="1:26" ht="15.75" customHeight="1">
      <c r="A908" s="90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</row>
    <row r="909" spans="1:26" ht="15.75" customHeight="1">
      <c r="A909" s="90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</row>
    <row r="910" spans="1:26" ht="15.75" customHeight="1">
      <c r="A910" s="90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</row>
    <row r="911" spans="1:26" ht="15.75" customHeight="1">
      <c r="A911" s="90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</row>
    <row r="912" spans="1:26" ht="15.75" customHeight="1">
      <c r="A912" s="90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</row>
    <row r="913" spans="1:26" ht="15.75" customHeight="1">
      <c r="A913" s="90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</row>
    <row r="914" spans="1:26" ht="15.75" customHeight="1">
      <c r="A914" s="90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</row>
    <row r="915" spans="1:26" ht="15.75" customHeight="1">
      <c r="A915" s="90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</row>
    <row r="916" spans="1:26" ht="15.75" customHeight="1">
      <c r="A916" s="90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</row>
    <row r="917" spans="1:26" ht="15.75" customHeight="1">
      <c r="A917" s="90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</row>
    <row r="918" spans="1:26" ht="15.75" customHeight="1">
      <c r="A918" s="90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</row>
    <row r="919" spans="1:26" ht="15.75" customHeight="1">
      <c r="A919" s="90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</row>
    <row r="920" spans="1:26" ht="15.75" customHeight="1">
      <c r="A920" s="90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</row>
    <row r="921" spans="1:26" ht="15.75" customHeight="1">
      <c r="A921" s="90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</row>
    <row r="922" spans="1:26" ht="15.75" customHeight="1">
      <c r="A922" s="90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</row>
    <row r="923" spans="1:26" ht="15.75" customHeight="1">
      <c r="A923" s="90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</row>
    <row r="924" spans="1:26" ht="15.75" customHeight="1">
      <c r="A924" s="90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</row>
    <row r="925" spans="1:26" ht="15.75" customHeight="1">
      <c r="A925" s="90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</row>
    <row r="926" spans="1:26" ht="15.75" customHeight="1">
      <c r="A926" s="90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</row>
    <row r="927" spans="1:26" ht="15.75" customHeight="1">
      <c r="A927" s="90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</row>
    <row r="928" spans="1:26" ht="15.75" customHeight="1">
      <c r="A928" s="90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</row>
    <row r="929" spans="1:26" ht="15.75" customHeight="1">
      <c r="A929" s="90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</row>
    <row r="930" spans="1:26" ht="15.75" customHeight="1">
      <c r="A930" s="90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</row>
    <row r="931" spans="1:26" ht="15.75" customHeight="1">
      <c r="A931" s="90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</row>
    <row r="932" spans="1:26" ht="15.75" customHeight="1">
      <c r="A932" s="90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</row>
    <row r="933" spans="1:26" ht="15.75" customHeight="1">
      <c r="A933" s="90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</row>
    <row r="934" spans="1:26" ht="15.75" customHeight="1">
      <c r="A934" s="90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</row>
    <row r="935" spans="1:26" ht="15.75" customHeight="1">
      <c r="A935" s="90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</row>
    <row r="936" spans="1:26" ht="15.75" customHeight="1">
      <c r="A936" s="90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</row>
    <row r="937" spans="1:26" ht="15.75" customHeight="1">
      <c r="A937" s="90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</row>
    <row r="938" spans="1:26" ht="15.75" customHeight="1">
      <c r="A938" s="90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</row>
    <row r="939" spans="1:26" ht="15.75" customHeight="1">
      <c r="A939" s="90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</row>
    <row r="940" spans="1:26" ht="15.75" customHeight="1">
      <c r="A940" s="90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</row>
    <row r="941" spans="1:26" ht="15.75" customHeight="1">
      <c r="A941" s="90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</row>
    <row r="942" spans="1:26" ht="15.75" customHeight="1">
      <c r="A942" s="90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</row>
    <row r="943" spans="1:26" ht="15.75" customHeight="1">
      <c r="A943" s="90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</row>
    <row r="944" spans="1:26" ht="15.75" customHeight="1">
      <c r="A944" s="90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</row>
    <row r="945" spans="1:26" ht="15.75" customHeight="1">
      <c r="A945" s="90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</row>
    <row r="946" spans="1:26" ht="15.75" customHeight="1">
      <c r="A946" s="90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</row>
    <row r="947" spans="1:26" ht="15.75" customHeight="1">
      <c r="A947" s="90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</row>
    <row r="948" spans="1:26" ht="15.75" customHeight="1">
      <c r="A948" s="90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</row>
    <row r="949" spans="1:26" ht="15.75" customHeight="1">
      <c r="A949" s="90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</row>
    <row r="950" spans="1:26" ht="15.75" customHeight="1">
      <c r="A950" s="90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</row>
    <row r="951" spans="1:26" ht="15.75" customHeight="1">
      <c r="A951" s="90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</row>
    <row r="952" spans="1:26" ht="15.75" customHeight="1">
      <c r="A952" s="90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</row>
    <row r="953" spans="1:26" ht="15.75" customHeight="1">
      <c r="A953" s="90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</row>
    <row r="954" spans="1:26" ht="15.75" customHeight="1">
      <c r="A954" s="90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</row>
    <row r="955" spans="1:26" ht="15.75" customHeight="1">
      <c r="A955" s="90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</row>
    <row r="956" spans="1:26" ht="15.75" customHeight="1">
      <c r="A956" s="90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</row>
    <row r="957" spans="1:26" ht="15.75" customHeight="1">
      <c r="A957" s="90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</row>
    <row r="958" spans="1:26" ht="15.75" customHeight="1">
      <c r="A958" s="90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</row>
    <row r="959" spans="1:26" ht="15.75" customHeight="1">
      <c r="A959" s="90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</row>
    <row r="960" spans="1:26" ht="15.75" customHeight="1">
      <c r="A960" s="90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</row>
    <row r="961" spans="1:26" ht="15.75" customHeight="1">
      <c r="A961" s="90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</row>
    <row r="962" spans="1:26" ht="15.75" customHeight="1">
      <c r="A962" s="90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</row>
    <row r="963" spans="1:26" ht="15.75" customHeight="1">
      <c r="A963" s="90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</row>
    <row r="964" spans="1:26" ht="15.75" customHeight="1">
      <c r="A964" s="90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</row>
    <row r="965" spans="1:26" ht="15.75" customHeight="1">
      <c r="A965" s="90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</row>
    <row r="966" spans="1:26" ht="15.75" customHeight="1">
      <c r="A966" s="90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</row>
    <row r="967" spans="1:26" ht="15.75" customHeight="1">
      <c r="A967" s="90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</row>
    <row r="968" spans="1:26" ht="15.75" customHeight="1">
      <c r="A968" s="90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</row>
    <row r="969" spans="1:26" ht="15.75" customHeight="1">
      <c r="A969" s="90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</row>
    <row r="970" spans="1:26" ht="15.75" customHeight="1">
      <c r="A970" s="90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</row>
    <row r="971" spans="1:26" ht="15.75" customHeight="1">
      <c r="A971" s="90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</row>
    <row r="972" spans="1:26" ht="15.75" customHeight="1">
      <c r="A972" s="90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</row>
    <row r="973" spans="1:26" ht="15.75" customHeight="1">
      <c r="A973" s="90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</row>
    <row r="974" spans="1:26" ht="15.75" customHeight="1">
      <c r="A974" s="90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</row>
    <row r="975" spans="1:26" ht="15.75" customHeight="1">
      <c r="A975" s="90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</row>
    <row r="976" spans="1:26" ht="15.75" customHeight="1">
      <c r="A976" s="90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</row>
    <row r="977" spans="1:26" ht="15.75" customHeight="1">
      <c r="A977" s="90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</row>
    <row r="978" spans="1:26" ht="15.75" customHeight="1">
      <c r="A978" s="90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</row>
    <row r="979" spans="1:26" ht="15.75" customHeight="1">
      <c r="A979" s="90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</row>
    <row r="980" spans="1:26" ht="15.75" customHeight="1">
      <c r="A980" s="90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</row>
    <row r="981" spans="1:26" ht="15.75" customHeight="1">
      <c r="A981" s="90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</row>
    <row r="982" spans="1:26" ht="15.75" customHeight="1">
      <c r="A982" s="90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</row>
    <row r="983" spans="1:26" ht="15.75" customHeight="1">
      <c r="A983" s="90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</row>
    <row r="984" spans="1:26" ht="15.75" customHeight="1">
      <c r="A984" s="90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</row>
    <row r="985" spans="1:26" ht="15.75" customHeight="1">
      <c r="A985" s="90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</row>
    <row r="986" spans="1:26" ht="15.75" customHeight="1">
      <c r="A986" s="90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</row>
    <row r="987" spans="1:26" ht="15.75" customHeight="1">
      <c r="A987" s="90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</row>
    <row r="988" spans="1:26" ht="15.75" customHeight="1">
      <c r="A988" s="90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</row>
    <row r="989" spans="1:26" ht="15.75" customHeight="1">
      <c r="A989" s="90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</row>
    <row r="990" spans="1:26" ht="15.75" customHeight="1">
      <c r="A990" s="90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</row>
    <row r="991" spans="1:26" ht="15.75" customHeight="1">
      <c r="A991" s="90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</row>
    <row r="992" spans="1:26" ht="15.75" customHeight="1">
      <c r="A992" s="90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</row>
    <row r="993" spans="1:26" ht="15.75" customHeight="1">
      <c r="A993" s="90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</row>
    <row r="994" spans="1:26" ht="15.75" customHeight="1">
      <c r="A994" s="90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</row>
    <row r="995" spans="1:26" ht="15.75" customHeight="1">
      <c r="A995" s="90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</row>
    <row r="996" spans="1:26" ht="15.75" customHeight="1">
      <c r="A996" s="90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</row>
    <row r="997" spans="1:26" ht="15.75" customHeight="1">
      <c r="A997" s="90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</row>
    <row r="998" spans="1:26" ht="15.75" customHeight="1">
      <c r="A998" s="90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</row>
    <row r="999" spans="1:26" ht="15.75" customHeight="1">
      <c r="A999" s="90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</row>
    <row r="1000" spans="1:26" ht="15.75" customHeight="1">
      <c r="A1000" s="90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</row>
  </sheetData>
  <mergeCells count="19">
    <mergeCell ref="C24:D24"/>
    <mergeCell ref="C25:D25"/>
    <mergeCell ref="C26:D26"/>
    <mergeCell ref="B13:C13"/>
    <mergeCell ref="D13:E13"/>
    <mergeCell ref="B14:C14"/>
    <mergeCell ref="D14:E14"/>
    <mergeCell ref="C19:D19"/>
    <mergeCell ref="C20:D20"/>
    <mergeCell ref="B9:C9"/>
    <mergeCell ref="D9:E9"/>
    <mergeCell ref="B10:C10"/>
    <mergeCell ref="D10:E10"/>
    <mergeCell ref="B23:E23"/>
    <mergeCell ref="B4:E4"/>
    <mergeCell ref="B5:E5"/>
    <mergeCell ref="C6:D6"/>
    <mergeCell ref="C7:D7"/>
    <mergeCell ref="B8:E8"/>
  </mergeCells>
  <dataValidations count="4">
    <dataValidation type="list" showErrorMessage="1" sqref="D14">
      <formula1>"0,5,6,7"</formula1>
    </dataValidation>
    <dataValidation type="list" showErrorMessage="1" sqref="B14">
      <formula1>"0,6,7,8,9,10"</formula1>
    </dataValidation>
    <dataValidation type="list" showErrorMessage="1" sqref="B5:E5">
      <formula1>armes</formula1>
    </dataValidation>
    <dataValidation type="list" sqref="C7:D7">
      <formula1>"Oui,Non"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7"/>
  <sheetViews>
    <sheetView zoomScaleNormal="100" workbookViewId="0">
      <selection activeCell="A17" sqref="A17"/>
    </sheetView>
  </sheetViews>
  <sheetFormatPr baseColWidth="10" defaultRowHeight="12.75"/>
  <cols>
    <col min="1" max="1" width="16.28515625" bestFit="1" customWidth="1"/>
    <col min="2" max="3" width="7.140625" customWidth="1"/>
    <col min="5" max="8" width="10" customWidth="1"/>
    <col min="12" max="12" width="15" customWidth="1"/>
    <col min="13" max="14" width="7.85546875" customWidth="1"/>
  </cols>
  <sheetData>
    <row r="1" spans="1:14">
      <c r="A1" s="125" t="s">
        <v>456</v>
      </c>
      <c r="B1" s="125"/>
      <c r="C1" s="125"/>
      <c r="L1" s="125" t="s">
        <v>466</v>
      </c>
      <c r="M1" s="125"/>
      <c r="N1" s="125"/>
    </row>
    <row r="2" spans="1:14">
      <c r="B2" s="38" t="s">
        <v>453</v>
      </c>
      <c r="C2" s="38" t="s">
        <v>454</v>
      </c>
      <c r="M2" s="43" t="s">
        <v>453</v>
      </c>
      <c r="N2" s="43" t="s">
        <v>454</v>
      </c>
    </row>
    <row r="3" spans="1:14">
      <c r="A3" t="s">
        <v>449</v>
      </c>
      <c r="B3">
        <v>10</v>
      </c>
      <c r="C3" s="39">
        <v>0</v>
      </c>
      <c r="E3" s="131" t="s">
        <v>402</v>
      </c>
      <c r="F3" s="131"/>
      <c r="G3">
        <v>15</v>
      </c>
      <c r="H3" s="41" t="b">
        <v>0</v>
      </c>
      <c r="L3" t="s">
        <v>449</v>
      </c>
      <c r="M3">
        <v>10</v>
      </c>
      <c r="N3" s="40">
        <v>0</v>
      </c>
    </row>
    <row r="4" spans="1:14">
      <c r="A4" t="s">
        <v>450</v>
      </c>
      <c r="B4">
        <v>12.5</v>
      </c>
      <c r="C4" s="39">
        <v>0</v>
      </c>
      <c r="E4" s="131" t="s">
        <v>459</v>
      </c>
      <c r="F4" s="131"/>
      <c r="G4">
        <v>10</v>
      </c>
      <c r="H4" s="42" t="b">
        <v>0</v>
      </c>
      <c r="L4" t="s">
        <v>7</v>
      </c>
      <c r="M4">
        <v>8</v>
      </c>
      <c r="N4" s="40">
        <v>0</v>
      </c>
    </row>
    <row r="5" spans="1:14">
      <c r="A5" t="s">
        <v>7</v>
      </c>
      <c r="B5">
        <v>8</v>
      </c>
      <c r="C5" s="39">
        <v>0</v>
      </c>
      <c r="E5" s="131" t="s">
        <v>463</v>
      </c>
      <c r="F5" s="131"/>
      <c r="G5">
        <v>10</v>
      </c>
      <c r="H5" s="42" t="b">
        <v>0</v>
      </c>
      <c r="L5" t="s">
        <v>9</v>
      </c>
      <c r="M5">
        <v>8</v>
      </c>
      <c r="N5" s="40">
        <v>0</v>
      </c>
    </row>
    <row r="6" spans="1:14">
      <c r="A6" t="s">
        <v>9</v>
      </c>
      <c r="B6">
        <v>8</v>
      </c>
      <c r="C6" s="39">
        <v>0</v>
      </c>
      <c r="E6" s="131" t="s">
        <v>490</v>
      </c>
      <c r="F6" s="131"/>
      <c r="H6" s="42" t="b">
        <v>0</v>
      </c>
      <c r="L6" t="s">
        <v>10</v>
      </c>
      <c r="M6">
        <v>8</v>
      </c>
      <c r="N6" s="40">
        <v>0</v>
      </c>
    </row>
    <row r="7" spans="1:14">
      <c r="A7" t="s">
        <v>10</v>
      </c>
      <c r="B7">
        <v>8</v>
      </c>
      <c r="C7" s="39">
        <v>0</v>
      </c>
      <c r="E7" s="131" t="s">
        <v>491</v>
      </c>
      <c r="F7" s="131"/>
      <c r="H7" s="42" t="b">
        <v>0</v>
      </c>
      <c r="L7" t="s">
        <v>451</v>
      </c>
      <c r="M7">
        <v>8</v>
      </c>
      <c r="N7" s="40">
        <v>0</v>
      </c>
    </row>
    <row r="8" spans="1:14">
      <c r="A8" t="s">
        <v>451</v>
      </c>
      <c r="B8">
        <v>8</v>
      </c>
      <c r="C8" s="39">
        <v>0</v>
      </c>
      <c r="E8" s="131" t="s">
        <v>479</v>
      </c>
      <c r="F8" s="131"/>
      <c r="H8" s="42" t="b">
        <v>0</v>
      </c>
      <c r="L8" t="s">
        <v>14</v>
      </c>
      <c r="M8">
        <v>8</v>
      </c>
      <c r="N8" s="40">
        <v>0</v>
      </c>
    </row>
    <row r="9" spans="1:14">
      <c r="A9" t="s">
        <v>14</v>
      </c>
      <c r="B9">
        <v>8</v>
      </c>
      <c r="C9" s="39">
        <v>0</v>
      </c>
      <c r="E9" s="131" t="s">
        <v>493</v>
      </c>
      <c r="F9" s="131"/>
      <c r="H9" s="42" t="b">
        <v>0</v>
      </c>
      <c r="L9" t="s">
        <v>15</v>
      </c>
      <c r="M9">
        <v>8</v>
      </c>
      <c r="N9" s="40">
        <v>0</v>
      </c>
    </row>
    <row r="10" spans="1:14">
      <c r="A10" t="s">
        <v>15</v>
      </c>
      <c r="B10">
        <v>8</v>
      </c>
      <c r="C10" s="39">
        <v>0</v>
      </c>
      <c r="E10" s="131" t="s">
        <v>498</v>
      </c>
      <c r="F10" s="131"/>
      <c r="G10" s="1">
        <v>50</v>
      </c>
      <c r="H10" s="42" t="b">
        <v>0</v>
      </c>
      <c r="L10" t="s">
        <v>1</v>
      </c>
      <c r="M10">
        <v>10</v>
      </c>
      <c r="N10" s="40">
        <v>0</v>
      </c>
    </row>
    <row r="11" spans="1:14">
      <c r="A11" t="s">
        <v>1</v>
      </c>
      <c r="B11">
        <v>10</v>
      </c>
      <c r="C11" s="39">
        <v>0</v>
      </c>
      <c r="E11" s="131" t="s">
        <v>496</v>
      </c>
      <c r="F11" s="131"/>
      <c r="H11" s="42" t="b">
        <v>0</v>
      </c>
      <c r="L11" t="s">
        <v>452</v>
      </c>
      <c r="M11">
        <v>8</v>
      </c>
      <c r="N11" s="40">
        <v>0</v>
      </c>
    </row>
    <row r="12" spans="1:14">
      <c r="A12" t="s">
        <v>452</v>
      </c>
      <c r="B12">
        <v>8</v>
      </c>
      <c r="C12" s="39">
        <v>0</v>
      </c>
      <c r="E12" s="131" t="s">
        <v>494</v>
      </c>
      <c r="F12" s="131"/>
      <c r="H12" s="42" t="b">
        <v>0</v>
      </c>
      <c r="L12" t="s">
        <v>461</v>
      </c>
      <c r="M12">
        <v>50</v>
      </c>
      <c r="N12" s="42" t="b">
        <v>0</v>
      </c>
    </row>
    <row r="13" spans="1:14">
      <c r="A13" t="s">
        <v>458</v>
      </c>
      <c r="B13">
        <v>15</v>
      </c>
      <c r="C13" s="39">
        <v>0</v>
      </c>
      <c r="L13" t="s">
        <v>462</v>
      </c>
      <c r="M13">
        <v>30</v>
      </c>
      <c r="N13" s="42" t="b">
        <v>0</v>
      </c>
    </row>
    <row r="14" spans="1:14">
      <c r="A14" t="s">
        <v>455</v>
      </c>
      <c r="B14" s="40">
        <v>0</v>
      </c>
    </row>
    <row r="16" spans="1:14">
      <c r="E16" t="s">
        <v>492</v>
      </c>
      <c r="H16" t="s">
        <v>495</v>
      </c>
      <c r="L16" s="60" t="s">
        <v>464</v>
      </c>
      <c r="M16" s="59">
        <f>(1-(1-N3)*(1-N4)*(1-N5)*(1-N7)*(1-N8)*(1-N9)*(1-N10)*(1-N11)*(1-IF(N12,M12/100,"0"))*(1-IF(N13,M13/100,"0")))*100</f>
        <v>0</v>
      </c>
    </row>
    <row r="17" spans="1:14">
      <c r="E17" s="61" t="s">
        <v>499</v>
      </c>
      <c r="F17" s="61"/>
      <c r="G17" s="61"/>
      <c r="H17" t="s">
        <v>500</v>
      </c>
    </row>
    <row r="18" spans="1:14">
      <c r="L18" s="112" t="s">
        <v>460</v>
      </c>
      <c r="M18" s="112"/>
      <c r="N18" s="40">
        <v>0</v>
      </c>
    </row>
    <row r="19" spans="1:14">
      <c r="A19" s="56" t="s">
        <v>457</v>
      </c>
      <c r="B19">
        <f>(1-((1-IF(H3,G3/100,"0"))*(1-IF(H4,G4/100,"0"))*(1-IF(H5,G5/100,"0"))*(1-C3)*(1-(C4*(1+B14)))*(1-C5)*(1-C6)*(1-C7)*(1-C8)*(1-C9)*(1-C10)*(1-C11)*(1-C12)*(1-C13)))*100</f>
        <v>0</v>
      </c>
      <c r="M19" s="60" t="s">
        <v>465</v>
      </c>
      <c r="N19" s="59">
        <f>(1-(1-N3)*(1-N4)*(1-N5)*(1-N7)*(1-N8)*(1-N9)*(1-N10)*(1-N11)*(1-IF(N12,M12/100,"0"))*(1-IF(N13,M13/100,"0"))*(1-N18))*100</f>
        <v>0</v>
      </c>
    </row>
    <row r="21" spans="1:14">
      <c r="A21" s="43" t="s">
        <v>483</v>
      </c>
      <c r="B21" s="64"/>
      <c r="D21" s="43" t="s">
        <v>487</v>
      </c>
      <c r="E21" s="43" t="s">
        <v>488</v>
      </c>
      <c r="F21" s="43" t="s">
        <v>489</v>
      </c>
      <c r="G21" s="43" t="s">
        <v>484</v>
      </c>
      <c r="H21" s="43" t="s">
        <v>497</v>
      </c>
    </row>
    <row r="23" spans="1:14">
      <c r="A23" s="164" t="s">
        <v>213</v>
      </c>
      <c r="B23" s="164"/>
      <c r="C23" s="165"/>
      <c r="D23" s="62">
        <v>4</v>
      </c>
      <c r="E23">
        <v>12</v>
      </c>
      <c r="F23" s="59">
        <f>E23*(1-$B$19/100)*IF(H12,"0,7","1")</f>
        <v>12</v>
      </c>
      <c r="G23" s="63">
        <f>MIN(D23/F23*100,100)</f>
        <v>33.333333333333329</v>
      </c>
      <c r="H23" s="59">
        <f>F23-D23</f>
        <v>8</v>
      </c>
    </row>
    <row r="24" spans="1:14">
      <c r="A24" s="164" t="s">
        <v>209</v>
      </c>
      <c r="B24" s="164"/>
      <c r="C24" s="165"/>
      <c r="D24" s="62">
        <v>8</v>
      </c>
      <c r="E24">
        <v>12</v>
      </c>
      <c r="F24" s="59">
        <f>E24*(1-$B$19/100)*IF(H12,"0,7","1")</f>
        <v>12</v>
      </c>
      <c r="G24" s="63">
        <f t="shared" ref="G24:G46" si="0">MIN(D24/F24*100,100)</f>
        <v>66.666666666666657</v>
      </c>
      <c r="H24" s="59">
        <f t="shared" ref="H24:H46" si="1">F24-D24</f>
        <v>4</v>
      </c>
    </row>
    <row r="25" spans="1:14">
      <c r="A25" s="164" t="s">
        <v>203</v>
      </c>
      <c r="B25" s="164"/>
      <c r="C25" s="165"/>
      <c r="D25" s="62">
        <v>6</v>
      </c>
      <c r="E25">
        <v>12</v>
      </c>
      <c r="F25" s="59">
        <f>E25*(1-$B$19/100)*IF(H12,"0,7","1")</f>
        <v>12</v>
      </c>
      <c r="G25" s="63">
        <f t="shared" si="0"/>
        <v>50</v>
      </c>
      <c r="H25" s="59">
        <f t="shared" si="1"/>
        <v>6</v>
      </c>
    </row>
    <row r="26" spans="1:14">
      <c r="A26" s="164" t="s">
        <v>200</v>
      </c>
      <c r="B26" s="164"/>
      <c r="C26" s="165"/>
      <c r="D26" s="62">
        <v>4</v>
      </c>
      <c r="E26">
        <v>30</v>
      </c>
      <c r="F26" s="59">
        <f t="shared" ref="F26:F38" si="2">E26*(1-$B$19/100)</f>
        <v>30</v>
      </c>
      <c r="G26" s="63">
        <f t="shared" si="0"/>
        <v>13.333333333333334</v>
      </c>
      <c r="H26" s="59">
        <f t="shared" si="1"/>
        <v>26</v>
      </c>
    </row>
    <row r="27" spans="1:14">
      <c r="A27" s="164" t="s">
        <v>196</v>
      </c>
      <c r="B27" s="164"/>
      <c r="C27" s="165"/>
      <c r="D27" s="62">
        <v>7</v>
      </c>
      <c r="E27">
        <v>30</v>
      </c>
      <c r="F27" s="59">
        <f t="shared" si="2"/>
        <v>30</v>
      </c>
      <c r="G27" s="63">
        <f t="shared" si="0"/>
        <v>23.333333333333332</v>
      </c>
      <c r="H27" s="59">
        <f t="shared" si="1"/>
        <v>23</v>
      </c>
    </row>
    <row r="28" spans="1:14">
      <c r="A28" s="164" t="s">
        <v>188</v>
      </c>
      <c r="B28" s="164"/>
      <c r="C28" s="165"/>
      <c r="D28" s="62">
        <v>10</v>
      </c>
      <c r="E28">
        <v>30</v>
      </c>
      <c r="F28" s="59">
        <f t="shared" si="2"/>
        <v>30</v>
      </c>
      <c r="G28" s="63">
        <f t="shared" si="0"/>
        <v>33.333333333333329</v>
      </c>
      <c r="H28" s="59">
        <f t="shared" si="1"/>
        <v>20</v>
      </c>
    </row>
    <row r="29" spans="1:14">
      <c r="A29" s="164" t="s">
        <v>181</v>
      </c>
      <c r="B29" s="164"/>
      <c r="C29" s="165"/>
      <c r="D29" s="62">
        <v>5</v>
      </c>
      <c r="E29">
        <v>30</v>
      </c>
      <c r="F29" s="59">
        <f t="shared" si="2"/>
        <v>30</v>
      </c>
      <c r="G29" s="63">
        <f t="shared" si="0"/>
        <v>16.666666666666664</v>
      </c>
      <c r="H29" s="59">
        <f t="shared" si="1"/>
        <v>25</v>
      </c>
    </row>
    <row r="30" spans="1:14">
      <c r="A30" s="164" t="s">
        <v>174</v>
      </c>
      <c r="B30" s="164"/>
      <c r="C30" s="165"/>
      <c r="D30" s="62">
        <v>6</v>
      </c>
      <c r="E30">
        <v>20</v>
      </c>
      <c r="F30" s="59">
        <f t="shared" si="2"/>
        <v>20</v>
      </c>
      <c r="G30" s="63">
        <f t="shared" si="0"/>
        <v>30</v>
      </c>
      <c r="H30" s="59">
        <f t="shared" si="1"/>
        <v>14</v>
      </c>
    </row>
    <row r="31" spans="1:14">
      <c r="A31" s="164" t="s">
        <v>168</v>
      </c>
      <c r="B31" s="164"/>
      <c r="C31" s="165"/>
      <c r="D31" s="62">
        <v>10</v>
      </c>
      <c r="E31">
        <v>20</v>
      </c>
      <c r="F31" s="59">
        <f t="shared" si="2"/>
        <v>20</v>
      </c>
      <c r="G31" s="63">
        <f t="shared" si="0"/>
        <v>50</v>
      </c>
      <c r="H31" s="59">
        <f t="shared" si="1"/>
        <v>10</v>
      </c>
    </row>
    <row r="32" spans="1:14">
      <c r="A32" s="162" t="s">
        <v>162</v>
      </c>
      <c r="B32" s="162"/>
      <c r="C32" s="163"/>
      <c r="D32" s="62">
        <v>4</v>
      </c>
      <c r="E32">
        <v>20</v>
      </c>
      <c r="F32" s="59">
        <f t="shared" si="2"/>
        <v>20</v>
      </c>
      <c r="G32" s="63">
        <f t="shared" si="0"/>
        <v>20</v>
      </c>
      <c r="H32" s="59">
        <f t="shared" si="1"/>
        <v>16</v>
      </c>
    </row>
    <row r="33" spans="1:8">
      <c r="A33" s="162" t="s">
        <v>158</v>
      </c>
      <c r="B33" s="162"/>
      <c r="C33" s="163"/>
      <c r="D33" s="62">
        <v>8</v>
      </c>
      <c r="E33">
        <v>20</v>
      </c>
      <c r="F33" s="59">
        <f t="shared" si="2"/>
        <v>20</v>
      </c>
      <c r="G33" s="63">
        <f t="shared" si="0"/>
        <v>40</v>
      </c>
      <c r="H33" s="59">
        <f t="shared" si="1"/>
        <v>12</v>
      </c>
    </row>
    <row r="34" spans="1:8">
      <c r="A34" s="162" t="s">
        <v>485</v>
      </c>
      <c r="B34" s="162"/>
      <c r="C34" s="163"/>
      <c r="D34" s="62" t="str">
        <f>IF(H6,"4","2")</f>
        <v>2</v>
      </c>
      <c r="E34">
        <v>16</v>
      </c>
      <c r="F34" s="59">
        <f>E34*(1-$B$19/100)*IF(H11,"0,75","1")</f>
        <v>16</v>
      </c>
      <c r="G34" s="63">
        <f t="shared" si="0"/>
        <v>12.5</v>
      </c>
      <c r="H34" s="59">
        <f t="shared" si="1"/>
        <v>14</v>
      </c>
    </row>
    <row r="35" spans="1:8">
      <c r="A35" s="162" t="s">
        <v>486</v>
      </c>
      <c r="B35" s="162"/>
      <c r="C35" s="163"/>
      <c r="D35" s="62" t="str">
        <f>IF(H6,"6","3")</f>
        <v>3</v>
      </c>
      <c r="E35">
        <v>16</v>
      </c>
      <c r="F35" s="59">
        <f>E35*(1-$B$19/100)*IF(H11,"0,75","1")</f>
        <v>16</v>
      </c>
      <c r="G35" s="63">
        <f t="shared" si="0"/>
        <v>18.75</v>
      </c>
      <c r="H35" s="59">
        <f t="shared" si="1"/>
        <v>13</v>
      </c>
    </row>
    <row r="36" spans="1:8">
      <c r="A36" s="162" t="s">
        <v>137</v>
      </c>
      <c r="B36" s="162"/>
      <c r="C36" s="163"/>
      <c r="D36" s="62"/>
      <c r="E36">
        <v>15</v>
      </c>
      <c r="F36" s="59">
        <f t="shared" si="2"/>
        <v>15</v>
      </c>
      <c r="G36" s="63"/>
      <c r="H36" s="59"/>
    </row>
    <row r="37" spans="1:8">
      <c r="A37" s="162" t="s">
        <v>123</v>
      </c>
      <c r="B37" s="162"/>
      <c r="C37" s="163"/>
      <c r="D37" s="62" t="str">
        <f>IF(H9,"15","5")</f>
        <v>5</v>
      </c>
      <c r="E37">
        <v>15</v>
      </c>
      <c r="F37" s="59">
        <f t="shared" si="2"/>
        <v>15</v>
      </c>
      <c r="G37" s="63">
        <f t="shared" si="0"/>
        <v>33.333333333333329</v>
      </c>
      <c r="H37" s="59">
        <f t="shared" si="1"/>
        <v>10</v>
      </c>
    </row>
    <row r="38" spans="1:8">
      <c r="A38" s="162" t="s">
        <v>118</v>
      </c>
      <c r="B38" s="162"/>
      <c r="C38" s="163"/>
      <c r="D38" s="62"/>
      <c r="E38">
        <v>15</v>
      </c>
      <c r="F38" s="59">
        <f t="shared" si="2"/>
        <v>15</v>
      </c>
      <c r="G38" s="63"/>
      <c r="H38" s="59"/>
    </row>
    <row r="39" spans="1:8">
      <c r="A39" s="162" t="s">
        <v>116</v>
      </c>
      <c r="B39" s="162"/>
      <c r="C39" s="163"/>
      <c r="D39" s="62" t="str">
        <f>IF(H9,"30","10")</f>
        <v>10</v>
      </c>
      <c r="E39">
        <v>30</v>
      </c>
      <c r="F39" s="59">
        <f>E39*(1-$B$19/100)</f>
        <v>30</v>
      </c>
      <c r="G39" s="63">
        <f t="shared" si="0"/>
        <v>33.333333333333329</v>
      </c>
      <c r="H39" s="59">
        <f t="shared" si="1"/>
        <v>20</v>
      </c>
    </row>
    <row r="40" spans="1:8">
      <c r="A40" s="164" t="s">
        <v>114</v>
      </c>
      <c r="B40" s="164"/>
      <c r="C40" s="165"/>
      <c r="D40" s="62" t="str">
        <f>IF(H7,"10","5")</f>
        <v>5</v>
      </c>
      <c r="E40">
        <v>30</v>
      </c>
      <c r="F40" s="59">
        <f>E40*(1-$B$19/100)</f>
        <v>30</v>
      </c>
      <c r="G40" s="63">
        <f t="shared" si="0"/>
        <v>16.666666666666664</v>
      </c>
      <c r="H40" s="59">
        <f t="shared" si="1"/>
        <v>25</v>
      </c>
    </row>
    <row r="41" spans="1:8">
      <c r="A41" s="164" t="s">
        <v>102</v>
      </c>
      <c r="B41" s="164"/>
      <c r="C41" s="165"/>
      <c r="D41" s="62" t="str">
        <f>IF(H7,"10","5")</f>
        <v>5</v>
      </c>
      <c r="E41">
        <v>30</v>
      </c>
      <c r="F41" s="59">
        <f>E41*(1-$B$19/100)</f>
        <v>30</v>
      </c>
      <c r="G41" s="63">
        <f t="shared" si="0"/>
        <v>16.666666666666664</v>
      </c>
      <c r="H41" s="59">
        <f t="shared" si="1"/>
        <v>25</v>
      </c>
    </row>
    <row r="42" spans="1:8">
      <c r="A42" s="164" t="s">
        <v>90</v>
      </c>
      <c r="B42" s="164"/>
      <c r="C42" s="165"/>
      <c r="D42" s="62" t="str">
        <f>IF(H7,"10","5")</f>
        <v>5</v>
      </c>
      <c r="E42">
        <v>30</v>
      </c>
      <c r="F42" s="59">
        <f>E42*(1-$B$19/100)</f>
        <v>30</v>
      </c>
      <c r="G42" s="63">
        <f t="shared" si="0"/>
        <v>16.666666666666664</v>
      </c>
      <c r="H42" s="59">
        <f t="shared" si="1"/>
        <v>25</v>
      </c>
    </row>
    <row r="43" spans="1:8">
      <c r="A43" s="162" t="s">
        <v>78</v>
      </c>
      <c r="B43" s="162"/>
      <c r="C43" s="163"/>
      <c r="D43" s="62"/>
      <c r="E43">
        <v>30</v>
      </c>
      <c r="F43" s="59">
        <f>E43*(1-$B$19/100)</f>
        <v>30</v>
      </c>
      <c r="G43" s="63"/>
      <c r="H43" s="59"/>
    </row>
    <row r="44" spans="1:8">
      <c r="A44" s="162" t="s">
        <v>66</v>
      </c>
      <c r="B44" s="162"/>
      <c r="C44" s="163"/>
      <c r="D44" s="62">
        <v>20</v>
      </c>
      <c r="E44">
        <v>90</v>
      </c>
      <c r="F44" s="59">
        <f>E44*(1-$B$19/100)/IF(H8,"2","1")</f>
        <v>90</v>
      </c>
      <c r="G44" s="63">
        <f t="shared" si="0"/>
        <v>22.222222222222221</v>
      </c>
      <c r="H44" s="59">
        <f t="shared" si="1"/>
        <v>70</v>
      </c>
    </row>
    <row r="45" spans="1:8">
      <c r="A45" s="162" t="s">
        <v>53</v>
      </c>
      <c r="B45" s="162"/>
      <c r="C45" s="163"/>
      <c r="D45" s="62">
        <v>6</v>
      </c>
      <c r="E45">
        <v>20</v>
      </c>
      <c r="F45" s="59">
        <f>E45*(1-$B$19/100)*IF(H10,1-(G10/100),"1")</f>
        <v>20</v>
      </c>
      <c r="G45" s="63">
        <f t="shared" si="0"/>
        <v>30</v>
      </c>
      <c r="H45" s="59">
        <f t="shared" si="1"/>
        <v>14</v>
      </c>
    </row>
    <row r="46" spans="1:8">
      <c r="A46" s="162" t="s">
        <v>52</v>
      </c>
      <c r="B46" s="162"/>
      <c r="C46" s="163"/>
      <c r="D46" s="62">
        <v>5</v>
      </c>
      <c r="E46">
        <v>20</v>
      </c>
      <c r="F46" s="59">
        <f>E46*(1-$B$19/100)*IF(H10,1-(G10/100),"1")</f>
        <v>20</v>
      </c>
      <c r="G46" s="63">
        <f t="shared" si="0"/>
        <v>25</v>
      </c>
      <c r="H46" s="59">
        <f t="shared" si="1"/>
        <v>15</v>
      </c>
    </row>
    <row r="47" spans="1:8">
      <c r="A47" s="162" t="s">
        <v>38</v>
      </c>
      <c r="B47" s="162"/>
      <c r="C47" s="163"/>
      <c r="D47" s="62"/>
      <c r="E47">
        <v>60</v>
      </c>
      <c r="F47" s="59">
        <f>E47*(1-$B$19/100)*IF(H11,"0,65","1")</f>
        <v>60</v>
      </c>
      <c r="G47" s="63"/>
      <c r="H47" s="59"/>
    </row>
  </sheetData>
  <mergeCells count="37">
    <mergeCell ref="L1:N1"/>
    <mergeCell ref="A37:C37"/>
    <mergeCell ref="A38:C38"/>
    <mergeCell ref="A39:C39"/>
    <mergeCell ref="A1:C1"/>
    <mergeCell ref="A27:C27"/>
    <mergeCell ref="A28:C28"/>
    <mergeCell ref="A29:C29"/>
    <mergeCell ref="A30:C30"/>
    <mergeCell ref="A31:C31"/>
    <mergeCell ref="A44:C44"/>
    <mergeCell ref="A45:C45"/>
    <mergeCell ref="A32:C32"/>
    <mergeCell ref="A33:C33"/>
    <mergeCell ref="A34:C34"/>
    <mergeCell ref="A35:C35"/>
    <mergeCell ref="A36:C36"/>
    <mergeCell ref="A40:C40"/>
    <mergeCell ref="A41:C41"/>
    <mergeCell ref="A42:C42"/>
    <mergeCell ref="A43:C43"/>
    <mergeCell ref="A46:C46"/>
    <mergeCell ref="A47:C47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A23:C23"/>
    <mergeCell ref="A24:C24"/>
    <mergeCell ref="A25:C25"/>
    <mergeCell ref="A26:C26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127"/>
  <sheetViews>
    <sheetView tabSelected="1" zoomScaleNormal="100" workbookViewId="0">
      <pane ySplit="17" topLeftCell="A18" activePane="bottomLeft" state="frozen"/>
      <selection pane="bottomLeft" activeCell="L13" sqref="L13"/>
    </sheetView>
  </sheetViews>
  <sheetFormatPr baseColWidth="10" defaultRowHeight="12"/>
  <cols>
    <col min="1" max="1" width="20" style="6" customWidth="1"/>
    <col min="2" max="5" width="10" style="6" customWidth="1"/>
    <col min="6" max="6" width="8.5703125" style="6" customWidth="1"/>
    <col min="7" max="7" width="20" style="6" customWidth="1"/>
    <col min="8" max="8" width="8.5703125" style="6" customWidth="1"/>
    <col min="9" max="10" width="7.140625" style="6" customWidth="1"/>
    <col min="11" max="13" width="8.5703125" style="6" customWidth="1"/>
    <col min="14" max="15" width="7.140625" style="6" customWidth="1"/>
    <col min="16" max="17" width="11.42578125" style="6"/>
    <col min="18" max="19" width="7.140625" style="6" customWidth="1"/>
    <col min="20" max="21" width="11.42578125" style="6"/>
    <col min="22" max="23" width="7.140625" style="6" customWidth="1"/>
    <col min="24" max="16384" width="11.42578125" style="6"/>
  </cols>
  <sheetData>
    <row r="1" spans="1:24">
      <c r="K1" s="191" t="s">
        <v>447</v>
      </c>
      <c r="L1" s="191"/>
      <c r="M1" s="191"/>
      <c r="N1" s="6" t="s">
        <v>424</v>
      </c>
      <c r="O1" s="25" t="s">
        <v>423</v>
      </c>
      <c r="P1" s="190" t="s">
        <v>446</v>
      </c>
      <c r="Q1" s="191"/>
      <c r="R1" s="6" t="s">
        <v>424</v>
      </c>
      <c r="S1" s="26" t="s">
        <v>423</v>
      </c>
      <c r="T1" s="190" t="s">
        <v>445</v>
      </c>
      <c r="U1" s="191"/>
      <c r="V1" s="8" t="s">
        <v>424</v>
      </c>
      <c r="W1" s="25" t="s">
        <v>423</v>
      </c>
    </row>
    <row r="2" spans="1:24">
      <c r="A2" s="167" t="s">
        <v>444</v>
      </c>
      <c r="B2" s="174"/>
      <c r="C2" s="175">
        <f>C3*APS*(1+N10/100)*critique*(1+(Statistiques!B6/100))</f>
        <v>4066898.2910166127</v>
      </c>
      <c r="D2" s="175"/>
      <c r="E2" s="24" t="s">
        <v>443</v>
      </c>
      <c r="F2" s="32">
        <f>(100+IF(O4,N4,"0")+IF(O3,N3,"0")+IF(O5,N5,"0")+IF(O8,(20+N8)*0.5,"0")+IF(O9,N9,"0")+IF(O6,N6,"0")+IF(O7,N7,"0")+IF(W6,V6,"0")+IF(S3,R3,"0")+IF(S4,R4,"0")+IF(S5,R5,"0"))/100</f>
        <v>0.8</v>
      </c>
      <c r="G2" s="186" t="s">
        <v>442</v>
      </c>
      <c r="H2" s="187"/>
      <c r="I2" s="182">
        <v>0</v>
      </c>
      <c r="J2" s="183"/>
      <c r="K2" s="194" t="s">
        <v>441</v>
      </c>
      <c r="L2" s="195"/>
      <c r="M2" s="195"/>
      <c r="N2" s="22">
        <v>100</v>
      </c>
      <c r="O2" s="37" t="b">
        <v>0</v>
      </c>
      <c r="P2" s="194" t="s">
        <v>166</v>
      </c>
      <c r="Q2" s="195"/>
      <c r="R2" s="22">
        <f>0.2*C7</f>
        <v>12.200000000000001</v>
      </c>
      <c r="S2" s="29" t="b">
        <v>0</v>
      </c>
      <c r="T2" s="166" t="s">
        <v>479</v>
      </c>
      <c r="U2" s="188"/>
      <c r="V2" s="12"/>
      <c r="W2" s="16" t="b">
        <v>0</v>
      </c>
    </row>
    <row r="3" spans="1:24">
      <c r="A3" s="167" t="s">
        <v>439</v>
      </c>
      <c r="B3" s="174"/>
      <c r="C3" s="174">
        <f>(Statistiques!B23+Statistiques!B24)/2</f>
        <v>3498.5</v>
      </c>
      <c r="D3" s="174"/>
      <c r="E3" s="36" t="s">
        <v>438</v>
      </c>
      <c r="F3" s="35">
        <f>1*(1+IF(S6,(15+R6*0.3)/100,"0"))*(1+IF(S7,(20+R7*0.25)/100,"0"))*(1+IF(S8,R8/100,"0"))*(1+IF(S9,R9/100,"0"))*(1+IF(S10,((3*1+1*(1+R10/100))/4)-1,"0"))</f>
        <v>1.3</v>
      </c>
      <c r="G3" s="166" t="s">
        <v>437</v>
      </c>
      <c r="H3" s="188"/>
      <c r="I3" s="184">
        <f>(0.2*I2/100)*(I4-1)</f>
        <v>0</v>
      </c>
      <c r="J3" s="185"/>
      <c r="K3" s="196" t="s">
        <v>66</v>
      </c>
      <c r="L3" s="197"/>
      <c r="M3" s="197"/>
      <c r="N3" s="12">
        <v>35</v>
      </c>
      <c r="O3" s="28" t="b">
        <v>0</v>
      </c>
      <c r="P3" s="196" t="s">
        <v>211</v>
      </c>
      <c r="Q3" s="197"/>
      <c r="R3" s="12">
        <v>20</v>
      </c>
      <c r="S3" s="16" t="b">
        <v>0</v>
      </c>
      <c r="T3" s="166" t="s">
        <v>440</v>
      </c>
      <c r="U3" s="167"/>
      <c r="V3" s="12">
        <v>500</v>
      </c>
      <c r="W3" s="16" t="b">
        <v>1</v>
      </c>
    </row>
    <row r="4" spans="1:24">
      <c r="A4" s="167" t="s">
        <v>435</v>
      </c>
      <c r="B4" s="174"/>
      <c r="C4" s="188">
        <f>Statistiques!B22</f>
        <v>1.1499999999999999</v>
      </c>
      <c r="D4" s="188"/>
      <c r="E4" s="33" t="s">
        <v>471</v>
      </c>
      <c r="F4" s="35">
        <f>(100+(C7*(C8/100)))/100</f>
        <v>3.6900999999999997</v>
      </c>
      <c r="G4" s="166" t="s">
        <v>434</v>
      </c>
      <c r="H4" s="188"/>
      <c r="I4" s="34">
        <v>1</v>
      </c>
      <c r="K4" s="196" t="s">
        <v>433</v>
      </c>
      <c r="L4" s="197"/>
      <c r="M4" s="197"/>
      <c r="N4" s="12">
        <v>-20</v>
      </c>
      <c r="O4" s="28" t="b">
        <v>1</v>
      </c>
      <c r="P4" s="196" t="s">
        <v>432</v>
      </c>
      <c r="Q4" s="197"/>
      <c r="R4" s="12">
        <v>10</v>
      </c>
      <c r="S4" s="16" t="b">
        <v>0</v>
      </c>
      <c r="T4" s="177" t="s">
        <v>436</v>
      </c>
      <c r="U4" s="178"/>
      <c r="V4" s="27">
        <v>5</v>
      </c>
      <c r="W4" s="16" t="b">
        <v>1</v>
      </c>
    </row>
    <row r="5" spans="1:24">
      <c r="A5" s="167" t="s">
        <v>430</v>
      </c>
      <c r="B5" s="174"/>
      <c r="C5" s="167"/>
      <c r="D5" s="167"/>
      <c r="E5" s="33" t="s">
        <v>472</v>
      </c>
      <c r="F5" s="32">
        <f>(100+((C7+IF(S2,R2,"0"))*(C8/100)))/100</f>
        <v>3.6900999999999997</v>
      </c>
      <c r="G5" s="181"/>
      <c r="H5" s="189"/>
      <c r="K5" s="196" t="s">
        <v>429</v>
      </c>
      <c r="L5" s="197"/>
      <c r="M5" s="197"/>
      <c r="N5" s="12">
        <v>10</v>
      </c>
      <c r="O5" s="28" t="b">
        <v>0</v>
      </c>
      <c r="P5" s="196" t="s">
        <v>428</v>
      </c>
      <c r="Q5" s="197"/>
      <c r="R5" s="27">
        <v>30</v>
      </c>
      <c r="S5" s="16" t="b">
        <v>0</v>
      </c>
      <c r="T5" s="166" t="s">
        <v>431</v>
      </c>
      <c r="U5" s="188"/>
      <c r="V5" s="6">
        <v>30</v>
      </c>
      <c r="W5" s="26">
        <f>V4*V5</f>
        <v>150</v>
      </c>
    </row>
    <row r="6" spans="1:24">
      <c r="A6" s="167" t="s">
        <v>425</v>
      </c>
      <c r="B6" s="174"/>
      <c r="C6" s="167">
        <f>Statistiques!B21</f>
        <v>14.2</v>
      </c>
      <c r="D6" s="167"/>
      <c r="E6" s="31" t="s">
        <v>426</v>
      </c>
      <c r="F6" s="20">
        <f>IF(J7,I7,"0")+IF(J8,I8,"0")+IF(J9,I9,"0")+IF(J10,I10,"0")+IF(J11,I11,"0")+IF(J12,I12,"0")+IF(W4,W5,"0")</f>
        <v>157</v>
      </c>
      <c r="G6" s="190" t="s">
        <v>425</v>
      </c>
      <c r="H6" s="191"/>
      <c r="I6" s="21" t="s">
        <v>424</v>
      </c>
      <c r="J6" s="26" t="s">
        <v>423</v>
      </c>
      <c r="K6" s="196" t="s">
        <v>422</v>
      </c>
      <c r="L6" s="197"/>
      <c r="M6" s="197"/>
      <c r="N6" s="12">
        <v>25</v>
      </c>
      <c r="O6" s="28" t="b">
        <v>0</v>
      </c>
      <c r="P6" s="208" t="s">
        <v>421</v>
      </c>
      <c r="Q6" s="209"/>
      <c r="R6" s="27">
        <v>50</v>
      </c>
      <c r="S6" s="16" t="b">
        <v>1</v>
      </c>
      <c r="T6" s="196" t="s">
        <v>427</v>
      </c>
      <c r="U6" s="197"/>
      <c r="V6" s="12">
        <v>10</v>
      </c>
      <c r="W6" s="16" t="b">
        <v>0</v>
      </c>
    </row>
    <row r="7" spans="1:24">
      <c r="A7" s="167" t="s">
        <v>23</v>
      </c>
      <c r="B7" s="174"/>
      <c r="C7" s="174">
        <f>Statistiques!B19</f>
        <v>61</v>
      </c>
      <c r="D7" s="174"/>
      <c r="E7" s="20" t="s">
        <v>419</v>
      </c>
      <c r="F7" s="66">
        <f>Statistiques!B25+IF('eDPS sorts'!O9,"15","0")</f>
        <v>14</v>
      </c>
      <c r="G7" s="177" t="s">
        <v>316</v>
      </c>
      <c r="H7" s="178"/>
      <c r="I7" s="22">
        <v>15</v>
      </c>
      <c r="J7" s="29" t="b">
        <v>0</v>
      </c>
      <c r="K7" s="196" t="s">
        <v>418</v>
      </c>
      <c r="L7" s="197"/>
      <c r="M7" s="197"/>
      <c r="N7" s="27">
        <v>135</v>
      </c>
      <c r="O7" s="28" t="b">
        <v>0</v>
      </c>
      <c r="P7" s="208" t="s">
        <v>417</v>
      </c>
      <c r="Q7" s="209"/>
      <c r="R7" s="27">
        <v>50</v>
      </c>
      <c r="S7" s="16" t="b">
        <v>0</v>
      </c>
      <c r="T7" s="166" t="s">
        <v>420</v>
      </c>
      <c r="U7" s="167"/>
      <c r="V7" s="27">
        <v>195</v>
      </c>
      <c r="W7" s="16" t="b">
        <v>0</v>
      </c>
    </row>
    <row r="8" spans="1:24">
      <c r="A8" s="167" t="s">
        <v>2</v>
      </c>
      <c r="B8" s="174"/>
      <c r="C8" s="174">
        <f>Statistiques!B20+IF(O2,N2,"0")</f>
        <v>441</v>
      </c>
      <c r="D8" s="174"/>
      <c r="E8" s="20" t="s">
        <v>415</v>
      </c>
      <c r="F8" s="52">
        <f>IF(S12,R12,"0")+IF(S13,R13,"0")+IF(S14,R14,"0")</f>
        <v>0</v>
      </c>
      <c r="G8" s="177" t="s">
        <v>301</v>
      </c>
      <c r="H8" s="178"/>
      <c r="I8" s="21">
        <v>10</v>
      </c>
      <c r="J8" s="16" t="b">
        <v>0</v>
      </c>
      <c r="K8" s="196" t="s">
        <v>414</v>
      </c>
      <c r="L8" s="197"/>
      <c r="M8" s="197"/>
      <c r="N8" s="27">
        <v>50</v>
      </c>
      <c r="O8" s="28" t="b">
        <v>0</v>
      </c>
      <c r="P8" s="208" t="s">
        <v>413</v>
      </c>
      <c r="Q8" s="209"/>
      <c r="R8" s="12">
        <v>50</v>
      </c>
      <c r="S8" s="16" t="b">
        <v>0</v>
      </c>
      <c r="T8" s="166" t="s">
        <v>416</v>
      </c>
      <c r="U8" s="167"/>
      <c r="V8" s="27">
        <v>1</v>
      </c>
      <c r="W8" s="16" t="b">
        <v>1</v>
      </c>
    </row>
    <row r="9" spans="1:24">
      <c r="A9" s="167" t="s">
        <v>411</v>
      </c>
      <c r="B9" s="174"/>
      <c r="C9" s="167">
        <f>Statistiques!B13+F8</f>
        <v>20</v>
      </c>
      <c r="D9" s="167"/>
      <c r="E9" s="192" t="s">
        <v>410</v>
      </c>
      <c r="F9" s="193"/>
      <c r="G9" s="177" t="s">
        <v>482</v>
      </c>
      <c r="H9" s="178"/>
      <c r="I9" s="12">
        <v>7</v>
      </c>
      <c r="J9" s="16" t="b">
        <v>1</v>
      </c>
      <c r="K9" s="198" t="s">
        <v>409</v>
      </c>
      <c r="L9" s="199"/>
      <c r="M9" s="199"/>
      <c r="N9" s="8">
        <v>20</v>
      </c>
      <c r="O9" s="10" t="b">
        <v>0</v>
      </c>
      <c r="P9" s="209" t="s">
        <v>408</v>
      </c>
      <c r="Q9" s="209"/>
      <c r="R9" s="12">
        <v>50</v>
      </c>
      <c r="S9" s="16" t="b">
        <v>0</v>
      </c>
      <c r="T9" s="166" t="s">
        <v>412</v>
      </c>
      <c r="U9" s="167"/>
      <c r="V9" s="27">
        <v>38</v>
      </c>
      <c r="W9" s="26">
        <f>V8*V9</f>
        <v>38</v>
      </c>
    </row>
    <row r="10" spans="1:24">
      <c r="A10" s="167" t="s">
        <v>406</v>
      </c>
      <c r="B10" s="174"/>
      <c r="C10" s="175">
        <f>C3*critique*additiff*(1+Statistiques!B6/100)</f>
        <v>1303994.5783688</v>
      </c>
      <c r="D10" s="175"/>
      <c r="E10" s="23" t="s">
        <v>28</v>
      </c>
      <c r="F10" s="118">
        <f>Statistiques!B26%</f>
        <v>0</v>
      </c>
      <c r="G10" s="177" t="s">
        <v>55</v>
      </c>
      <c r="H10" s="178"/>
      <c r="I10" s="21">
        <v>15</v>
      </c>
      <c r="J10" s="16" t="b">
        <v>0</v>
      </c>
      <c r="K10" s="200" t="s">
        <v>405</v>
      </c>
      <c r="L10" s="201"/>
      <c r="M10" s="201"/>
      <c r="N10" s="15">
        <f>IF(O3,N3,"0")+IF(O4,N4,"0")+IF(O5,N5,"0")+IF(O6,N6,"0")+IF(O7,N7,"0")+IF(O8,N8,"0")+IF(O9,N9,"0")</f>
        <v>-20</v>
      </c>
      <c r="O10" s="19"/>
      <c r="P10" s="204" t="s">
        <v>480</v>
      </c>
      <c r="Q10" s="205"/>
      <c r="R10" s="57">
        <v>190</v>
      </c>
      <c r="S10" s="16" t="b">
        <v>0</v>
      </c>
      <c r="T10" s="167" t="s">
        <v>407</v>
      </c>
      <c r="U10" s="167"/>
      <c r="V10" s="12"/>
      <c r="W10" s="16" t="b">
        <v>0</v>
      </c>
    </row>
    <row r="11" spans="1:24">
      <c r="A11" s="167" t="s">
        <v>403</v>
      </c>
      <c r="B11" s="174"/>
      <c r="C11" s="176">
        <f>C4*(1+((C6+F6)/100))</f>
        <v>3.1187999999999994</v>
      </c>
      <c r="D11" s="176"/>
      <c r="E11" s="17" t="s">
        <v>31</v>
      </c>
      <c r="F11" s="119">
        <f>Statistiques!B27%</f>
        <v>0</v>
      </c>
      <c r="G11" s="177" t="s">
        <v>402</v>
      </c>
      <c r="H11" s="178"/>
      <c r="I11" s="12">
        <v>15</v>
      </c>
      <c r="J11" s="16" t="b">
        <v>0</v>
      </c>
      <c r="P11" s="202" t="s">
        <v>404</v>
      </c>
      <c r="Q11" s="203"/>
      <c r="R11" s="15"/>
      <c r="S11" s="19"/>
      <c r="T11" s="166" t="s">
        <v>478</v>
      </c>
      <c r="U11" s="167"/>
      <c r="V11" s="12"/>
      <c r="W11" s="16" t="b">
        <v>0</v>
      </c>
    </row>
    <row r="12" spans="1:24">
      <c r="C12" s="14"/>
      <c r="E12" s="13" t="s">
        <v>42</v>
      </c>
      <c r="F12" s="119">
        <f>Statistiques!B28%</f>
        <v>0.32</v>
      </c>
      <c r="G12" s="172" t="s">
        <v>401</v>
      </c>
      <c r="H12" s="173"/>
      <c r="I12" s="11">
        <v>15</v>
      </c>
      <c r="J12" s="10" t="b">
        <v>0</v>
      </c>
      <c r="P12" s="206" t="s">
        <v>319</v>
      </c>
      <c r="Q12" s="207"/>
      <c r="R12" s="22">
        <v>15</v>
      </c>
      <c r="S12" s="29" t="b">
        <v>0</v>
      </c>
      <c r="T12" s="166" t="s">
        <v>503</v>
      </c>
      <c r="U12" s="167"/>
      <c r="V12" s="65" t="s">
        <v>504</v>
      </c>
      <c r="W12" s="16" t="b">
        <v>0</v>
      </c>
      <c r="X12" s="45" t="s">
        <v>504</v>
      </c>
    </row>
    <row r="13" spans="1:24">
      <c r="A13" s="45">
        <f>60/ROUNDDOWN(60/1/C11,0)</f>
        <v>3.1578947368421053</v>
      </c>
      <c r="E13" s="9" t="s">
        <v>25</v>
      </c>
      <c r="F13" s="120">
        <f>Statistiques!B29%</f>
        <v>0</v>
      </c>
      <c r="P13" s="166" t="s">
        <v>481</v>
      </c>
      <c r="Q13" s="167"/>
      <c r="R13" s="12">
        <v>50</v>
      </c>
      <c r="S13" s="16" t="b">
        <v>0</v>
      </c>
      <c r="X13" s="45" t="s">
        <v>505</v>
      </c>
    </row>
    <row r="14" spans="1:24">
      <c r="A14" s="122" t="s">
        <v>603</v>
      </c>
      <c r="B14" s="123" t="b">
        <v>1</v>
      </c>
      <c r="P14" s="166" t="s">
        <v>502</v>
      </c>
      <c r="Q14" s="167"/>
      <c r="R14" s="57"/>
      <c r="S14" s="16" t="b">
        <v>0</v>
      </c>
      <c r="T14" s="7"/>
    </row>
    <row r="16" spans="1:24" ht="12.75" customHeight="1">
      <c r="A16" s="26"/>
      <c r="B16" s="181" t="s">
        <v>602</v>
      </c>
      <c r="C16" s="179"/>
      <c r="D16" s="179"/>
      <c r="E16" s="179"/>
      <c r="F16" s="180"/>
      <c r="G16" s="179" t="s">
        <v>467</v>
      </c>
      <c r="H16" s="180"/>
      <c r="I16" s="171" t="s">
        <v>400</v>
      </c>
      <c r="J16" s="171"/>
      <c r="K16" s="171"/>
      <c r="L16" s="171"/>
      <c r="M16" s="45"/>
      <c r="N16" s="45"/>
      <c r="O16" s="45"/>
      <c r="P16" s="45"/>
    </row>
    <row r="17" spans="1:16">
      <c r="A17" s="26" t="s">
        <v>335</v>
      </c>
      <c r="B17" s="30" t="s">
        <v>469</v>
      </c>
      <c r="C17" s="53" t="s">
        <v>470</v>
      </c>
      <c r="D17" s="12" t="s">
        <v>399</v>
      </c>
      <c r="E17" s="12" t="s">
        <v>398</v>
      </c>
      <c r="F17" s="26" t="s">
        <v>397</v>
      </c>
      <c r="G17" s="44" t="s">
        <v>22</v>
      </c>
      <c r="H17" s="26" t="s">
        <v>468</v>
      </c>
      <c r="I17" s="45" t="s">
        <v>396</v>
      </c>
      <c r="J17" s="45" t="s">
        <v>395</v>
      </c>
      <c r="K17" s="45" t="s">
        <v>394</v>
      </c>
      <c r="L17" s="45" t="s">
        <v>393</v>
      </c>
      <c r="M17" s="45"/>
      <c r="N17" s="45" t="s">
        <v>333</v>
      </c>
      <c r="O17" s="45" t="s">
        <v>474</v>
      </c>
      <c r="P17" s="45" t="s">
        <v>473</v>
      </c>
    </row>
    <row r="18" spans="1:16">
      <c r="A18" s="26"/>
      <c r="B18" s="30"/>
      <c r="C18" s="12"/>
      <c r="D18" s="12"/>
      <c r="E18" s="12"/>
      <c r="F18" s="26"/>
      <c r="G18" s="12"/>
      <c r="H18" s="26"/>
      <c r="I18" s="45"/>
      <c r="J18" s="45"/>
      <c r="K18" s="45"/>
      <c r="L18" s="45"/>
      <c r="M18" s="45"/>
      <c r="N18" s="45"/>
      <c r="O18" s="45"/>
      <c r="P18" s="45"/>
    </row>
    <row r="19" spans="1:16">
      <c r="A19" s="54" t="s">
        <v>277</v>
      </c>
      <c r="B19" s="55" t="s">
        <v>341</v>
      </c>
      <c r="C19" s="11">
        <v>65</v>
      </c>
      <c r="D19" s="12"/>
      <c r="E19" s="12"/>
      <c r="F19" s="26"/>
      <c r="G19" s="12"/>
      <c r="H19" s="26"/>
      <c r="I19" s="45"/>
      <c r="J19" s="45"/>
      <c r="K19" s="45"/>
      <c r="L19" s="45"/>
      <c r="M19" s="45"/>
      <c r="N19" s="45"/>
      <c r="O19" s="45"/>
      <c r="P19" s="45"/>
    </row>
    <row r="20" spans="1:16">
      <c r="A20" s="48"/>
      <c r="B20" s="30">
        <f>I20*(additiff+(bonuscoupbouclier/100))*multiplicatif*(1+sacré)*(1+zone)*(IF(bBuffroland,1+(Buffroland/100),"1"))*(IF(bBuffdrakon,1+(Buffdrakon/100),"1"))*IF(B14,1+F7/100,1)</f>
        <v>9798.984000000004</v>
      </c>
      <c r="C20" s="12"/>
      <c r="D20" s="12"/>
      <c r="E20" s="12"/>
      <c r="F20" s="18">
        <f>(((B20+D20)/$A$13)+E20)/100</f>
        <v>31.03011600000001</v>
      </c>
      <c r="G20" s="46">
        <f t="shared" ref="G20:G57" si="0">$C$10*(((B20+D20)*$A$13)+E20)/100</f>
        <v>403510168.72176707</v>
      </c>
      <c r="H20" s="26">
        <f>G20/$C$2</f>
        <v>99.218160831088952</v>
      </c>
      <c r="I20" s="45">
        <f>700+3*C9</f>
        <v>760</v>
      </c>
      <c r="J20" s="45"/>
      <c r="K20" s="45"/>
      <c r="L20" s="45"/>
      <c r="M20" s="45"/>
      <c r="N20" s="45"/>
      <c r="O20" s="45"/>
      <c r="P20" s="45"/>
    </row>
    <row r="21" spans="1:16">
      <c r="A21" s="48" t="s">
        <v>392</v>
      </c>
      <c r="B21" s="30">
        <f>I21*(additiff+(bonuscoupbouclier/100))*multiplicatif*(1+sacré)*(1+zone)*(IF(bBuffroland,1+(Buffroland/100),"1"))*(IF(bBuffdrakon,1+(Buffdrakon/100),"1"))*IF(B14,1+F7/100,1)</f>
        <v>10443.654000000004</v>
      </c>
      <c r="C21" s="12"/>
      <c r="D21" s="12"/>
      <c r="E21" s="12"/>
      <c r="F21" s="18">
        <f t="shared" ref="F21:F57" si="1">(((B21+D21)/$A$13)+E21)/100</f>
        <v>33.071571000000013</v>
      </c>
      <c r="G21" s="46">
        <f t="shared" si="0"/>
        <v>430056890.34819907</v>
      </c>
      <c r="H21" s="26">
        <f>G21/$C$2</f>
        <v>105.74567141208163</v>
      </c>
      <c r="I21" s="45">
        <f>740+3.5*C9</f>
        <v>810</v>
      </c>
      <c r="J21" s="45"/>
      <c r="K21" s="45"/>
      <c r="L21" s="45"/>
      <c r="M21" s="45"/>
      <c r="N21" s="45"/>
      <c r="O21" s="45"/>
      <c r="P21" s="45"/>
    </row>
    <row r="22" spans="1:16">
      <c r="A22" s="49" t="s">
        <v>391</v>
      </c>
      <c r="B22" s="30">
        <f>I22*(additiff+(bonuscoupbouclier/100))*multiplicatif*(1+foudre)*(1+zone)*(IF(bBuffroland,1+(Buffroland/100),"1"))*(IF(bBuffdrakon,1+(Buffdrakon/100),"1"))*IF(B14,1+F7/100,1)</f>
        <v>12934.658880000005</v>
      </c>
      <c r="C22" s="12"/>
      <c r="D22" s="12"/>
      <c r="E22" s="12"/>
      <c r="F22" s="18">
        <f t="shared" si="1"/>
        <v>40.959753120000016</v>
      </c>
      <c r="G22" s="46">
        <f t="shared" si="0"/>
        <v>532633422.71273249</v>
      </c>
      <c r="H22" s="26">
        <f t="shared" ref="H22:H83" si="2">G22/$C$2</f>
        <v>130.96797229703739</v>
      </c>
      <c r="I22" s="45">
        <f>700+3*C9</f>
        <v>760</v>
      </c>
      <c r="J22" s="45"/>
      <c r="K22" s="45"/>
      <c r="L22" s="45"/>
      <c r="M22" s="45"/>
      <c r="N22" s="45"/>
      <c r="O22" s="45"/>
      <c r="P22" s="45"/>
    </row>
    <row r="23" spans="1:16">
      <c r="A23" s="50" t="s">
        <v>390</v>
      </c>
      <c r="B23" s="30">
        <f>I23*(additiff+(bonuscoupbouclier/100))*multiplicatif*(1+physique)*(1+zone)*(IF(bBuffroland,1+(Buffroland/100),"1"))*(IF(bBuffdrakon,1+(Buffdrakon/100),"1"))*IF(B14,1+F7/100,1)</f>
        <v>9798.984000000004</v>
      </c>
      <c r="C23" s="12">
        <f>J23*(additiff+(bonuscoupbouclier/100))*multiplicatif*(1+(physique/100))*(1+zone)*(IF(bBuffroland,1+(Buffroland/100),"1"))*(IF(bBuffdrakon,1+(Buffdrakon/100),"1"))*IF(B14,1+F7/100,1)</f>
        <v>2256.3450000000007</v>
      </c>
      <c r="D23" s="12"/>
      <c r="E23" s="12"/>
      <c r="F23" s="18">
        <f t="shared" si="1"/>
        <v>31.03011600000001</v>
      </c>
      <c r="G23" s="46">
        <f t="shared" si="0"/>
        <v>403510168.72176707</v>
      </c>
      <c r="H23" s="26">
        <f t="shared" si="2"/>
        <v>99.218160831088952</v>
      </c>
      <c r="I23" s="45">
        <f>700+3*C9</f>
        <v>760</v>
      </c>
      <c r="J23" s="45">
        <f>155+C9</f>
        <v>175</v>
      </c>
      <c r="K23" s="45"/>
      <c r="L23" s="45"/>
      <c r="M23" s="45"/>
      <c r="N23" s="45"/>
      <c r="O23" s="45"/>
      <c r="P23" s="45"/>
    </row>
    <row r="24" spans="1:16">
      <c r="A24" s="51" t="s">
        <v>389</v>
      </c>
      <c r="B24" s="30">
        <f>I24*(additiff+(bonuscoupbouclier/100))*multiplicatif*(1+feu)*(1+zone)*(IF(bBuffroland,1+(Buffroland/100),"1"))*(IF(bBuffdrakon,1+(Buffdrakon/100),"1"))*IF(B14,1+F7/100,1)</f>
        <v>9798.984000000004</v>
      </c>
      <c r="C24" s="12">
        <f>J24*(additiff+(bonuscoupbouclier/100))*multiplicatif*(1+(feu/100))*(1+zone)*(IF(bBuffroland,1+(Buffroland/100),"1"))*IF(B14,1+F7/100,1)</f>
        <v>8509.6440000000021</v>
      </c>
      <c r="D24" s="12"/>
      <c r="E24" s="12"/>
      <c r="F24" s="18">
        <f t="shared" si="1"/>
        <v>31.03011600000001</v>
      </c>
      <c r="G24" s="46">
        <f t="shared" si="0"/>
        <v>403510168.72176707</v>
      </c>
      <c r="H24" s="26">
        <f t="shared" si="2"/>
        <v>99.218160831088952</v>
      </c>
      <c r="I24" s="45">
        <f>700+3*C9</f>
        <v>760</v>
      </c>
      <c r="J24" s="45">
        <v>660</v>
      </c>
      <c r="K24" s="45"/>
      <c r="L24" s="45"/>
      <c r="M24" s="45"/>
      <c r="N24" s="45"/>
      <c r="O24" s="45"/>
      <c r="P24" s="45"/>
    </row>
    <row r="25" spans="1:16">
      <c r="A25" s="50" t="s">
        <v>388</v>
      </c>
      <c r="B25" s="30">
        <f>I25*(additiff+(bonuscoupbouclier/100))*multiplicatif*(1+physique)*(1+zone)*(IF(bBuffroland,1+(Buffroland/100),"1"))*(IF(bBuffdrakon,1+(Buffdrakon/100),"1"))*IF(B14,1+F7/100,1)</f>
        <v>18308.628000000008</v>
      </c>
      <c r="C25" s="12"/>
      <c r="D25" s="12"/>
      <c r="E25" s="12"/>
      <c r="F25" s="18">
        <f t="shared" si="1"/>
        <v>57.977322000000022</v>
      </c>
      <c r="G25" s="46">
        <f t="shared" si="0"/>
        <v>753926894.19067001</v>
      </c>
      <c r="H25" s="26">
        <f t="shared" si="2"/>
        <v>185.38130050019251</v>
      </c>
      <c r="I25" s="45">
        <f>1320+5*C9</f>
        <v>1420</v>
      </c>
      <c r="J25" s="45"/>
      <c r="K25" s="45"/>
      <c r="L25" s="45"/>
      <c r="M25" s="45"/>
      <c r="N25" s="45"/>
      <c r="O25" s="45"/>
      <c r="P25" s="45"/>
    </row>
    <row r="26" spans="1:16">
      <c r="A26" s="26"/>
      <c r="B26" s="30"/>
      <c r="C26" s="12"/>
      <c r="D26" s="12"/>
      <c r="E26" s="12"/>
      <c r="F26" s="18"/>
      <c r="G26" s="46"/>
      <c r="H26" s="26"/>
      <c r="I26" s="45"/>
      <c r="J26" s="45"/>
      <c r="K26" s="45"/>
      <c r="L26" s="45"/>
      <c r="M26" s="45"/>
      <c r="N26" s="45"/>
      <c r="O26" s="45"/>
      <c r="P26" s="45"/>
    </row>
    <row r="27" spans="1:16">
      <c r="A27" s="54" t="s">
        <v>262</v>
      </c>
      <c r="B27" s="55" t="s">
        <v>341</v>
      </c>
      <c r="C27" s="11">
        <v>30</v>
      </c>
      <c r="D27" s="12"/>
      <c r="E27" s="12"/>
      <c r="F27" s="18"/>
      <c r="G27" s="46"/>
      <c r="H27" s="26"/>
      <c r="I27" s="45"/>
      <c r="J27" s="45"/>
      <c r="K27" s="45"/>
      <c r="L27" s="45"/>
      <c r="M27" s="45"/>
      <c r="N27" s="45"/>
      <c r="O27" s="45"/>
      <c r="P27" s="45"/>
    </row>
    <row r="28" spans="1:16">
      <c r="A28" s="50"/>
      <c r="B28" s="30">
        <f>I28*(additiff+(bonusfustigation/100))*multiplicatif*(1+physique)*(1+zone)*(IF(bBuffroland,1+(Buffroland/100),"1"))*(IF(bBuffreniement,1+(Buffreniement/100),"1"))*IF(B14,1+F7/100,1)</f>
        <v>6479.0668799999994</v>
      </c>
      <c r="C28" s="12"/>
      <c r="D28" s="12"/>
      <c r="E28" s="12"/>
      <c r="F28" s="18">
        <f t="shared" si="1"/>
        <v>20.517045119999999</v>
      </c>
      <c r="G28" s="46">
        <f t="shared" si="0"/>
        <v>266800044.77080595</v>
      </c>
      <c r="H28" s="26">
        <f t="shared" si="2"/>
        <v>65.602831858407086</v>
      </c>
      <c r="I28" s="45">
        <v>480</v>
      </c>
      <c r="J28" s="45"/>
      <c r="K28" s="45"/>
      <c r="L28" s="45"/>
      <c r="M28" s="45"/>
      <c r="N28" s="45"/>
      <c r="O28" s="45"/>
      <c r="P28" s="45"/>
    </row>
    <row r="29" spans="1:16">
      <c r="A29" s="51" t="s">
        <v>387</v>
      </c>
      <c r="B29" s="30">
        <f>I29*(additiff+(bonusfustigation/100))*multiplicatif*(1+feu)*(1+zone)*(IF(bBuffroland,1+(Buffroland/100),"1"))*(IF(bBuffreniement,1+(Buffreniement/100),"1"))*IF(B14,1+F7/100,1)</f>
        <v>6479.0668799999994</v>
      </c>
      <c r="C29" s="12"/>
      <c r="D29" s="12">
        <f>K29*(additiff+(bonusfustigation/100))*multiplicatif*(1+(feu/100))*(1+zone)*(IF(bBuffroland,1+(Buffroland/100),"1"))*(IF(bBuffreniement,1+(Buffreniement/100),"1"))*IF(B14,1+F7/100,1)</f>
        <v>809.88335999999993</v>
      </c>
      <c r="E29" s="12"/>
      <c r="F29" s="18">
        <f t="shared" si="1"/>
        <v>23.08167576</v>
      </c>
      <c r="G29" s="46">
        <f t="shared" si="0"/>
        <v>300150050.36715674</v>
      </c>
      <c r="H29" s="26">
        <f t="shared" si="2"/>
        <v>73.803185840707982</v>
      </c>
      <c r="I29" s="45">
        <v>480</v>
      </c>
      <c r="J29" s="45"/>
      <c r="K29" s="45">
        <v>60</v>
      </c>
      <c r="L29" s="45"/>
      <c r="M29" s="45"/>
      <c r="N29" s="45"/>
      <c r="O29" s="45"/>
      <c r="P29" s="45"/>
    </row>
    <row r="30" spans="1:16">
      <c r="A30" s="49" t="s">
        <v>386</v>
      </c>
      <c r="B30" s="30">
        <f>I30*(additiff+(bonusfustigation/100))*multiplicatif*(1+foudre)*(1+zone)*(IF(bBuffroland,1+(Buffroland/100),"1"))*(IF(bBuffreniement,1+(Buffreniement/100),"1"))*IF(B14,1+F7/100,1)</f>
        <v>8552.3682816000019</v>
      </c>
      <c r="C30" s="12"/>
      <c r="D30" s="12"/>
      <c r="E30" s="12"/>
      <c r="F30" s="18">
        <f t="shared" si="1"/>
        <v>27.082499558400006</v>
      </c>
      <c r="G30" s="46">
        <f t="shared" si="0"/>
        <v>352176059.09746397</v>
      </c>
      <c r="H30" s="26">
        <f t="shared" si="2"/>
        <v>86.595738053097378</v>
      </c>
      <c r="I30" s="45">
        <v>480</v>
      </c>
      <c r="J30" s="45"/>
      <c r="K30" s="45"/>
      <c r="L30" s="45"/>
      <c r="M30" s="45"/>
      <c r="N30" s="45"/>
      <c r="O30" s="45"/>
      <c r="P30" s="45"/>
    </row>
    <row r="31" spans="1:16">
      <c r="A31" s="50" t="s">
        <v>385</v>
      </c>
      <c r="B31" s="30">
        <f>I31*(additiff+(bonusfustigation/100))*multiplicatif*(1+physique)*(1+zone)*(IF(bBuffroland,1+(Buffroland/100),"1"))*(IF(bBuffreniement,1+(Buffreniement/100),"1"))*IF(B14,1+F7/100,1)</f>
        <v>6479.0668799999994</v>
      </c>
      <c r="C31" s="12"/>
      <c r="D31" s="12"/>
      <c r="E31" s="12"/>
      <c r="F31" s="18">
        <f t="shared" si="1"/>
        <v>20.517045119999999</v>
      </c>
      <c r="G31" s="46">
        <f t="shared" si="0"/>
        <v>266800044.77080595</v>
      </c>
      <c r="H31" s="26">
        <f t="shared" si="2"/>
        <v>65.602831858407086</v>
      </c>
      <c r="I31" s="45">
        <v>480</v>
      </c>
      <c r="J31" s="45"/>
      <c r="K31" s="45"/>
      <c r="L31" s="45"/>
      <c r="M31" s="45"/>
      <c r="N31" s="45"/>
      <c r="O31" s="45"/>
      <c r="P31" s="45"/>
    </row>
    <row r="32" spans="1:16">
      <c r="A32" s="48" t="s">
        <v>384</v>
      </c>
      <c r="B32" s="30">
        <f>I32*(additiff+(bonusfustigation/100))*multiplicatif*(1+sacré)*(1+zone)*(IF(bBuffroland,1+(Buffroland/100),"1"))*(IF(bBuffreniement,1+(Buffreniement/100),"1"))*IF(B14,1+F7/100,1)</f>
        <v>6479.0668799999994</v>
      </c>
      <c r="C32" s="12"/>
      <c r="D32" s="12"/>
      <c r="E32" s="12"/>
      <c r="F32" s="18">
        <f t="shared" si="1"/>
        <v>20.517045119999999</v>
      </c>
      <c r="G32" s="46">
        <f t="shared" si="0"/>
        <v>266800044.77080595</v>
      </c>
      <c r="H32" s="26">
        <f t="shared" si="2"/>
        <v>65.602831858407086</v>
      </c>
      <c r="I32" s="45">
        <v>480</v>
      </c>
      <c r="J32" s="45"/>
      <c r="K32" s="45"/>
      <c r="L32" s="45"/>
      <c r="M32" s="45"/>
      <c r="N32" s="45"/>
      <c r="O32" s="45"/>
      <c r="P32" s="45"/>
    </row>
    <row r="33" spans="1:16">
      <c r="A33" s="47" t="s">
        <v>383</v>
      </c>
      <c r="B33" s="30">
        <f>I33*(additiff+(bonusfustigation/100))*multiplicatif*(1+zone)*(IF(bBuffroland,1+(Buffroland/100),"1"))*(IF(bBuffreniement,1+(Buffreniement/100),"1"))*IF(B14,1+F7/100,1)</f>
        <v>6479.0668799999994</v>
      </c>
      <c r="C33" s="12"/>
      <c r="D33" s="12"/>
      <c r="E33" s="12"/>
      <c r="F33" s="18">
        <f t="shared" si="1"/>
        <v>20.517045119999999</v>
      </c>
      <c r="G33" s="46">
        <f t="shared" si="0"/>
        <v>266800044.77080595</v>
      </c>
      <c r="H33" s="26">
        <f t="shared" si="2"/>
        <v>65.602831858407086</v>
      </c>
      <c r="I33" s="45">
        <v>480</v>
      </c>
      <c r="J33" s="45"/>
      <c r="K33" s="45"/>
      <c r="L33" s="45"/>
      <c r="M33" s="45"/>
      <c r="N33" s="45"/>
      <c r="O33" s="45"/>
      <c r="P33" s="45"/>
    </row>
    <row r="34" spans="1:16">
      <c r="A34" s="26"/>
      <c r="B34" s="30"/>
      <c r="C34" s="12"/>
      <c r="D34" s="12"/>
      <c r="E34" s="12"/>
      <c r="F34" s="18"/>
      <c r="G34" s="46"/>
      <c r="H34" s="26"/>
      <c r="I34" s="45"/>
      <c r="J34" s="45"/>
      <c r="K34" s="45"/>
      <c r="L34" s="45"/>
      <c r="M34" s="45"/>
      <c r="N34" s="45"/>
      <c r="O34" s="45"/>
      <c r="P34" s="45"/>
    </row>
    <row r="35" spans="1:16">
      <c r="A35" s="54" t="s">
        <v>250</v>
      </c>
      <c r="B35" s="55" t="s">
        <v>341</v>
      </c>
      <c r="C35" s="11">
        <v>0</v>
      </c>
      <c r="D35" s="12"/>
      <c r="E35" s="12"/>
      <c r="F35" s="18"/>
      <c r="G35" s="46"/>
      <c r="H35" s="26"/>
      <c r="I35" s="45"/>
      <c r="J35" s="45"/>
      <c r="K35" s="45"/>
      <c r="L35" s="45"/>
      <c r="M35" s="45"/>
      <c r="N35" s="45"/>
      <c r="O35" s="45"/>
      <c r="P35" s="45"/>
    </row>
    <row r="36" spans="1:16">
      <c r="A36" s="48"/>
      <c r="B36" s="30">
        <f>I36*(additiff+(buffmarteau/100))*multiplicatif*(1+sacré)*(1+zone)*IF(B14,1+F7/100,1)</f>
        <v>379.39200000000005</v>
      </c>
      <c r="C36" s="12"/>
      <c r="D36" s="12"/>
      <c r="E36" s="12"/>
      <c r="F36" s="18">
        <f t="shared" si="1"/>
        <v>1.201408</v>
      </c>
      <c r="G36" s="46">
        <f t="shared" si="0"/>
        <v>15622898.244520921</v>
      </c>
      <c r="H36" s="26">
        <f t="shared" si="2"/>
        <v>3.8414774913428253</v>
      </c>
      <c r="I36" s="45">
        <v>320</v>
      </c>
      <c r="J36" s="45"/>
      <c r="K36" s="45"/>
      <c r="L36" s="45"/>
      <c r="M36" s="45"/>
      <c r="N36" s="45"/>
      <c r="O36" s="45"/>
      <c r="P36" s="45"/>
    </row>
    <row r="37" spans="1:16">
      <c r="A37" s="51" t="s">
        <v>382</v>
      </c>
      <c r="B37" s="30">
        <f>I37*(additiff+(buffmarteau/100))*multiplicatif*(1+feu)*(1+zone)*IF(B14,1+F7/100,1)</f>
        <v>379.39200000000005</v>
      </c>
      <c r="C37" s="12"/>
      <c r="D37" s="12"/>
      <c r="E37" s="12">
        <f>L37*(additiff+(buffmarteau/100))*multiplicatif*(1+feu)*(1+zone)*IF(B14,1+F7/100,1)</f>
        <v>391.24800000000005</v>
      </c>
      <c r="F37" s="18">
        <f t="shared" si="1"/>
        <v>5.1138880000000002</v>
      </c>
      <c r="G37" s="46">
        <f t="shared" si="0"/>
        <v>20724750.952497285</v>
      </c>
      <c r="H37" s="26">
        <f t="shared" si="2"/>
        <v>5.0959599846094665</v>
      </c>
      <c r="I37" s="45">
        <v>320</v>
      </c>
      <c r="J37" s="45"/>
      <c r="K37" s="45"/>
      <c r="L37" s="45">
        <v>330</v>
      </c>
      <c r="M37" s="45"/>
      <c r="N37" s="45"/>
      <c r="O37" s="45"/>
      <c r="P37" s="45"/>
    </row>
    <row r="38" spans="1:16">
      <c r="A38" s="49" t="s">
        <v>381</v>
      </c>
      <c r="B38" s="30">
        <f>I38*(additiff+(buffmarteau/100))*multiplicatif*(1+foudre)*(1+zone)*IF(B14,1+F7/100,1)</f>
        <v>500.79744000000011</v>
      </c>
      <c r="C38" s="12">
        <f>J38*(additiff+(buffmarteau/100))*multiplicatif*(1+foudre)*(1+zone)*IF(B14,1+F7/100,1)</f>
        <v>93.899520000000024</v>
      </c>
      <c r="D38" s="12"/>
      <c r="E38" s="12"/>
      <c r="F38" s="18">
        <f t="shared" si="1"/>
        <v>1.5858585600000004</v>
      </c>
      <c r="G38" s="46">
        <f t="shared" si="0"/>
        <v>20622225.682767618</v>
      </c>
      <c r="H38" s="26">
        <f t="shared" si="2"/>
        <v>5.0707502885725297</v>
      </c>
      <c r="I38" s="45">
        <v>320</v>
      </c>
      <c r="J38" s="45">
        <v>60</v>
      </c>
      <c r="K38" s="45"/>
      <c r="L38" s="45"/>
      <c r="M38" s="45"/>
      <c r="N38" s="45"/>
      <c r="O38" s="45"/>
      <c r="P38" s="45"/>
    </row>
    <row r="39" spans="1:16">
      <c r="A39" s="48" t="s">
        <v>380</v>
      </c>
      <c r="B39" s="30">
        <f>I39*(additiff+(buffmarteau/100))*multiplicatif*(1+sacré)*(1+zone)*IF(B14,1+F7/100,1)</f>
        <v>379.39200000000005</v>
      </c>
      <c r="C39" s="12"/>
      <c r="D39" s="12"/>
      <c r="E39" s="12"/>
      <c r="F39" s="18">
        <f t="shared" si="1"/>
        <v>1.201408</v>
      </c>
      <c r="G39" s="46">
        <f t="shared" si="0"/>
        <v>15622898.244520921</v>
      </c>
      <c r="H39" s="26">
        <f t="shared" si="2"/>
        <v>3.8414774913428253</v>
      </c>
      <c r="I39" s="45">
        <v>320</v>
      </c>
      <c r="J39" s="45"/>
      <c r="K39" s="45"/>
      <c r="L39" s="45"/>
      <c r="M39" s="45"/>
      <c r="N39" s="45"/>
      <c r="O39" s="45"/>
      <c r="P39" s="45"/>
    </row>
    <row r="40" spans="1:16">
      <c r="A40" s="47" t="s">
        <v>379</v>
      </c>
      <c r="B40" s="30">
        <f>I40*(additiff+(buffmarteau/100))*multiplicatif*(1+zone)*IF(B14,1+F7/100,1)</f>
        <v>379.39200000000005</v>
      </c>
      <c r="C40" s="12">
        <f>J40*(additiff+(buffmarteau/100))*multiplicatif*(1+zone)*IF(B14,1+F7/100,1)</f>
        <v>450.52800000000002</v>
      </c>
      <c r="D40" s="12"/>
      <c r="E40" s="12"/>
      <c r="F40" s="18">
        <f t="shared" si="1"/>
        <v>1.201408</v>
      </c>
      <c r="G40" s="46">
        <f t="shared" si="0"/>
        <v>15622898.244520921</v>
      </c>
      <c r="H40" s="26">
        <f t="shared" si="2"/>
        <v>3.8414774913428253</v>
      </c>
      <c r="I40" s="45">
        <v>320</v>
      </c>
      <c r="J40" s="45">
        <v>380</v>
      </c>
      <c r="K40" s="45"/>
      <c r="L40" s="45"/>
      <c r="M40" s="45"/>
      <c r="N40" s="45"/>
      <c r="O40" s="45"/>
      <c r="P40" s="45"/>
    </row>
    <row r="41" spans="1:16">
      <c r="A41" s="48" t="s">
        <v>378</v>
      </c>
      <c r="B41" s="30">
        <f>I41*(additiff+(buffmarteau/100))*multiplicatif*(1+sacré)*(1+zone)*IF(B14,1+F7/100,1)</f>
        <v>379.39200000000005</v>
      </c>
      <c r="C41" s="12"/>
      <c r="D41" s="12"/>
      <c r="E41" s="12"/>
      <c r="F41" s="18">
        <f t="shared" si="1"/>
        <v>1.201408</v>
      </c>
      <c r="G41" s="46">
        <f t="shared" si="0"/>
        <v>15622898.244520921</v>
      </c>
      <c r="H41" s="26">
        <f t="shared" si="2"/>
        <v>3.8414774913428253</v>
      </c>
      <c r="I41" s="45">
        <v>320</v>
      </c>
      <c r="J41" s="45"/>
      <c r="K41" s="45"/>
      <c r="L41" s="45"/>
      <c r="M41" s="45"/>
      <c r="N41" s="45"/>
      <c r="O41" s="45"/>
      <c r="P41" s="45"/>
    </row>
    <row r="42" spans="1:16">
      <c r="A42" s="26"/>
      <c r="B42" s="30"/>
      <c r="C42" s="12"/>
      <c r="D42" s="12"/>
      <c r="E42" s="12"/>
      <c r="F42" s="18"/>
      <c r="G42" s="46"/>
      <c r="H42" s="26"/>
      <c r="I42" s="45"/>
      <c r="J42" s="45"/>
      <c r="K42" s="45"/>
      <c r="L42" s="45"/>
      <c r="M42" s="45"/>
      <c r="N42" s="45"/>
      <c r="O42" s="45"/>
      <c r="P42" s="45"/>
    </row>
    <row r="43" spans="1:16">
      <c r="A43" s="54" t="s">
        <v>238</v>
      </c>
      <c r="B43" s="55" t="s">
        <v>341</v>
      </c>
      <c r="C43" s="11">
        <v>0</v>
      </c>
      <c r="D43" s="12"/>
      <c r="E43" s="12"/>
      <c r="F43" s="18"/>
      <c r="G43" s="46"/>
      <c r="H43" s="26"/>
      <c r="I43" s="45"/>
      <c r="J43" s="45"/>
      <c r="K43" s="45"/>
      <c r="L43" s="45"/>
      <c r="M43" s="45"/>
      <c r="N43" s="45"/>
      <c r="O43" s="45"/>
      <c r="P43" s="45"/>
    </row>
    <row r="44" spans="1:16">
      <c r="A44" s="48"/>
      <c r="B44" s="30">
        <f>I44*(additiff+(bonusbouclierdivin/100))*multiplicatif*(1+sacré)*(1+zone)*IF(B14,1+F7/100,1)</f>
        <v>569.08800000000008</v>
      </c>
      <c r="C44" s="12"/>
      <c r="D44" s="12"/>
      <c r="E44" s="12"/>
      <c r="F44" s="18">
        <f t="shared" si="1"/>
        <v>1.8021120000000002</v>
      </c>
      <c r="G44" s="46">
        <f t="shared" si="0"/>
        <v>23434347.366781384</v>
      </c>
      <c r="H44" s="26">
        <f t="shared" si="2"/>
        <v>5.7622162370142389</v>
      </c>
      <c r="I44" s="45">
        <f>430+2.5*C9</f>
        <v>480</v>
      </c>
      <c r="J44" s="45"/>
      <c r="K44" s="45"/>
      <c r="L44" s="45"/>
      <c r="M44" s="45"/>
      <c r="N44" s="45"/>
      <c r="O44" s="45"/>
      <c r="P44" s="45"/>
    </row>
    <row r="45" spans="1:16">
      <c r="A45" s="49" t="s">
        <v>377</v>
      </c>
      <c r="B45" s="30">
        <f>I45*(additiff+(bonusbouclierdivin/100))*multiplicatif*(1+foudre)*(1+zone)*IF(B14,1+F7/100,1)</f>
        <v>751.19616000000019</v>
      </c>
      <c r="C45" s="12"/>
      <c r="D45" s="12"/>
      <c r="E45" s="12"/>
      <c r="F45" s="18">
        <f t="shared" si="1"/>
        <v>2.3787878400000007</v>
      </c>
      <c r="G45" s="46">
        <f>$C$10*(((B45+D45)*$A$13)+E45)/100</f>
        <v>30933338.52415143</v>
      </c>
      <c r="H45" s="26">
        <f t="shared" si="2"/>
        <v>7.6061254328587955</v>
      </c>
      <c r="I45" s="45">
        <f>430+2.5*C9</f>
        <v>480</v>
      </c>
      <c r="J45" s="45"/>
      <c r="K45" s="45"/>
      <c r="L45" s="45"/>
      <c r="M45" s="45"/>
      <c r="N45" s="45"/>
      <c r="O45" s="45"/>
      <c r="P45" s="45"/>
    </row>
    <row r="46" spans="1:16">
      <c r="A46" s="51" t="s">
        <v>376</v>
      </c>
      <c r="B46" s="30">
        <f>I46*(additiff+(bonusbouclierdivin/100))*multiplicatif*(1+feu)*(1+zone)*IF(B14,1+F7/100,1)</f>
        <v>569.08800000000008</v>
      </c>
      <c r="C46" s="12">
        <f>J46*(additiff+(bonusbouclierdivin/100))*multiplicatif*(1+feu)*(1+zone)*IF(B14,1+F7/100,1)</f>
        <v>367.53600000000006</v>
      </c>
      <c r="D46" s="12"/>
      <c r="E46" s="12"/>
      <c r="F46" s="18">
        <f t="shared" si="1"/>
        <v>1.8021120000000002</v>
      </c>
      <c r="G46" s="46">
        <f t="shared" si="0"/>
        <v>23434347.366781384</v>
      </c>
      <c r="H46" s="26">
        <f t="shared" si="2"/>
        <v>5.7622162370142389</v>
      </c>
      <c r="I46" s="45">
        <f>430+2.5*C9</f>
        <v>480</v>
      </c>
      <c r="J46" s="45">
        <v>310</v>
      </c>
      <c r="K46" s="45"/>
      <c r="L46" s="45"/>
      <c r="M46" s="45"/>
      <c r="N46" s="45"/>
      <c r="O46" s="45"/>
      <c r="P46" s="45"/>
    </row>
    <row r="47" spans="1:16">
      <c r="A47" s="50" t="s">
        <v>375</v>
      </c>
      <c r="B47" s="30">
        <f>I47*(additiff+(bonusbouclierdivin/100))*multiplicatif*(1+physique)*(1+zone)*IF(B14,1+F7/100,1)</f>
        <v>569.08800000000008</v>
      </c>
      <c r="C47" s="12"/>
      <c r="D47" s="12"/>
      <c r="E47" s="12"/>
      <c r="F47" s="18">
        <f t="shared" si="1"/>
        <v>1.8021120000000002</v>
      </c>
      <c r="G47" s="46">
        <f t="shared" si="0"/>
        <v>23434347.366781384</v>
      </c>
      <c r="H47" s="26">
        <f t="shared" si="2"/>
        <v>5.7622162370142389</v>
      </c>
      <c r="I47" s="45">
        <f>430+2.5*C9</f>
        <v>480</v>
      </c>
      <c r="J47" s="45"/>
      <c r="K47" s="45"/>
      <c r="L47" s="45"/>
      <c r="M47" s="45"/>
      <c r="N47" s="45"/>
      <c r="O47" s="45"/>
      <c r="P47" s="45"/>
    </row>
    <row r="48" spans="1:16">
      <c r="A48" s="48" t="s">
        <v>374</v>
      </c>
      <c r="B48" s="30">
        <f>I48*(additiff+(bonusbouclierdivin/100))*multiplicatif*(1+sacré)*(1+zone)*IF(B14,1+F7/100,1)</f>
        <v>569.08800000000008</v>
      </c>
      <c r="C48" s="12">
        <f>J48*(additiff+(bonusbouclierdivin/100))*multiplicatif*(1+sacré)*(1+zone)*IF(B14,1+F7/100,1)</f>
        <v>201.55200000000002</v>
      </c>
      <c r="D48" s="12"/>
      <c r="E48" s="12"/>
      <c r="F48" s="18">
        <f t="shared" si="1"/>
        <v>1.8021120000000002</v>
      </c>
      <c r="G48" s="46">
        <f t="shared" si="0"/>
        <v>23434347.366781384</v>
      </c>
      <c r="H48" s="26">
        <f t="shared" si="2"/>
        <v>5.7622162370142389</v>
      </c>
      <c r="I48" s="45">
        <f>430+2.5*C9</f>
        <v>480</v>
      </c>
      <c r="J48" s="45">
        <v>170</v>
      </c>
      <c r="K48" s="45"/>
      <c r="L48" s="45"/>
      <c r="M48" s="45"/>
      <c r="N48" s="45"/>
      <c r="O48" s="45"/>
      <c r="P48" s="45"/>
    </row>
    <row r="49" spans="1:16">
      <c r="A49" s="48" t="s">
        <v>373</v>
      </c>
      <c r="B49" s="30">
        <f>I49*(additiff+(bonusbouclierdivin/100))*multiplicatif*(1+sacré)*(1+zone)*IF(B14,1+F7/100,1)</f>
        <v>569.08800000000008</v>
      </c>
      <c r="C49" s="12"/>
      <c r="D49" s="12"/>
      <c r="E49" s="12"/>
      <c r="F49" s="18">
        <f t="shared" si="1"/>
        <v>1.8021120000000002</v>
      </c>
      <c r="G49" s="46">
        <f t="shared" si="0"/>
        <v>23434347.366781384</v>
      </c>
      <c r="H49" s="26">
        <f t="shared" si="2"/>
        <v>5.7622162370142389</v>
      </c>
      <c r="I49" s="45">
        <f>430+2.5*C9</f>
        <v>480</v>
      </c>
      <c r="J49" s="45"/>
      <c r="K49" s="45"/>
      <c r="L49" s="45"/>
      <c r="M49" s="45"/>
      <c r="N49" s="45"/>
      <c r="O49" s="45"/>
      <c r="P49" s="45"/>
    </row>
    <row r="50" spans="1:16">
      <c r="A50" s="26"/>
      <c r="B50" s="30"/>
      <c r="C50" s="12"/>
      <c r="D50" s="12"/>
      <c r="E50" s="12"/>
      <c r="F50" s="18"/>
      <c r="G50" s="46"/>
      <c r="H50" s="26"/>
      <c r="I50" s="45"/>
      <c r="J50" s="45"/>
      <c r="K50" s="45"/>
      <c r="L50" s="45"/>
      <c r="M50" s="45"/>
      <c r="N50" s="45"/>
      <c r="O50" s="45"/>
      <c r="P50" s="45"/>
    </row>
    <row r="51" spans="1:16">
      <c r="A51" s="54" t="s">
        <v>226</v>
      </c>
      <c r="B51" s="55" t="s">
        <v>341</v>
      </c>
      <c r="C51" s="11">
        <v>0</v>
      </c>
      <c r="D51" s="12"/>
      <c r="E51" s="12"/>
      <c r="F51" s="18"/>
      <c r="G51" s="46"/>
      <c r="H51" s="26"/>
      <c r="I51" s="45"/>
      <c r="J51" s="45"/>
      <c r="K51" s="45"/>
      <c r="L51" s="45"/>
      <c r="M51" s="45"/>
      <c r="N51" s="45"/>
      <c r="O51" s="45"/>
      <c r="P51" s="45"/>
    </row>
    <row r="52" spans="1:16">
      <c r="A52" s="49"/>
      <c r="B52" s="30">
        <f>I52*(additiff+(bonuspoingdescieux/100))*multiplicatif*(1+foudre)*(1+zone)*IF(B14,1+F7/100,1)</f>
        <v>852.92064000000028</v>
      </c>
      <c r="C52" s="12">
        <f>J52*(additiff+(bonuspoingdescieux/100))*multiplicatif*(1+foudre)*(1+zone)*IF(B14,1+F7/100,1)</f>
        <v>399.07296000000008</v>
      </c>
      <c r="D52" s="12"/>
      <c r="E52" s="12"/>
      <c r="F52" s="18">
        <f t="shared" si="1"/>
        <v>2.7009153600000007</v>
      </c>
      <c r="G52" s="46">
        <f t="shared" si="0"/>
        <v>35122228.115963601</v>
      </c>
      <c r="H52" s="26">
        <f t="shared" si="2"/>
        <v>8.6361215852250908</v>
      </c>
      <c r="I52" s="45">
        <v>545</v>
      </c>
      <c r="J52" s="45">
        <v>255</v>
      </c>
      <c r="K52" s="45"/>
      <c r="L52" s="45"/>
      <c r="M52" s="45"/>
      <c r="N52" s="45"/>
      <c r="O52" s="45"/>
      <c r="P52" s="45"/>
    </row>
    <row r="53" spans="1:16">
      <c r="A53" s="48" t="s">
        <v>372</v>
      </c>
      <c r="B53" s="30">
        <f>I53*(additiff+(bonuspoingdescieux/100))*multiplicatif*(1+sacré)*(1+zone)*IF(B14,1+F7/100,1)</f>
        <v>646.15200000000016</v>
      </c>
      <c r="C53" s="12">
        <f>J53*(additiff+(bonuspoingdescieux/100))*multiplicatif*(1+sacré)*(1+zone)*IF(B14,1+F7/100,1)</f>
        <v>47.424000000000007</v>
      </c>
      <c r="D53" s="12"/>
      <c r="E53" s="12"/>
      <c r="F53" s="18">
        <f t="shared" si="1"/>
        <v>2.0461480000000005</v>
      </c>
      <c r="G53" s="46">
        <f t="shared" si="0"/>
        <v>26607748.572699696</v>
      </c>
      <c r="H53" s="26">
        <f t="shared" si="2"/>
        <v>6.5425163524432497</v>
      </c>
      <c r="I53" s="45">
        <v>545</v>
      </c>
      <c r="J53" s="45">
        <v>40</v>
      </c>
      <c r="K53" s="45"/>
      <c r="L53" s="45"/>
      <c r="M53" s="45"/>
      <c r="N53" s="45"/>
      <c r="O53" s="45"/>
      <c r="P53" s="45"/>
    </row>
    <row r="54" spans="1:16">
      <c r="A54" s="51" t="s">
        <v>371</v>
      </c>
      <c r="B54" s="30">
        <f>I54*(additiff+(bonuspoingdescieux/100))*multiplicatif*(1+feu)*(1+zone)*IF(B14,1+F7/100,1)</f>
        <v>646.15200000000016</v>
      </c>
      <c r="C54" s="12">
        <f>J54*(additiff+(bonuspoingdescieux/100))*multiplicatif*(1+feu)*(1+zone)*IF(B14,1+F7/100,1)</f>
        <v>302.32800000000003</v>
      </c>
      <c r="D54" s="12">
        <f>K54*(additiff+(bonuspoingdescieux/100))*multiplicatif*(1+feu)*(1+zone)*IF(B14,1+F7/100,1)</f>
        <v>118.56000000000002</v>
      </c>
      <c r="E54" s="12"/>
      <c r="F54" s="18">
        <f t="shared" si="1"/>
        <v>2.4215880000000007</v>
      </c>
      <c r="G54" s="46">
        <f t="shared" si="0"/>
        <v>31489904.274112485</v>
      </c>
      <c r="H54" s="26">
        <f t="shared" si="2"/>
        <v>7.7429780684878837</v>
      </c>
      <c r="I54" s="45">
        <v>545</v>
      </c>
      <c r="J54" s="45">
        <v>255</v>
      </c>
      <c r="K54" s="45">
        <v>100</v>
      </c>
      <c r="L54" s="45"/>
      <c r="M54" s="45"/>
      <c r="N54" s="45"/>
      <c r="O54" s="45"/>
      <c r="P54" s="45"/>
    </row>
    <row r="55" spans="1:16">
      <c r="A55" s="49" t="s">
        <v>370</v>
      </c>
      <c r="B55" s="30">
        <f>I55*(additiff+(bonuspoingdescieux/100))*multiplicatif*(1+foudre)*(1+zone)*IF(B14,1+F7/100,1)</f>
        <v>852.92064000000028</v>
      </c>
      <c r="C55" s="12">
        <f>J55*(additiff+(bonuspoingdescieux/100))*multiplicatif*(1+foudre)*(1+zone)*IF(B14,1+F7/100,1)</f>
        <v>211.27392000000003</v>
      </c>
      <c r="D55" s="12">
        <f>K55*(additiff+(bonuspoingdescieux/100))*multiplicatif*(1+foudre)*(1+zone)*IF(B14,1+F7/100,1)</f>
        <v>128.32934400000005</v>
      </c>
      <c r="E55" s="12"/>
      <c r="F55" s="18">
        <f t="shared" si="1"/>
        <v>3.1072916160000004</v>
      </c>
      <c r="G55" s="46">
        <f t="shared" si="0"/>
        <v>40406673.447172798</v>
      </c>
      <c r="H55" s="26">
        <f t="shared" si="2"/>
        <v>9.935501346671801</v>
      </c>
      <c r="I55" s="45">
        <v>545</v>
      </c>
      <c r="J55" s="45">
        <v>135</v>
      </c>
      <c r="K55" s="45">
        <f>410/5</f>
        <v>82</v>
      </c>
      <c r="L55" s="45"/>
      <c r="M55" s="45"/>
      <c r="N55" s="45"/>
      <c r="O55" s="45"/>
      <c r="P55" s="45"/>
    </row>
    <row r="56" spans="1:16">
      <c r="A56" s="49" t="s">
        <v>369</v>
      </c>
      <c r="B56" s="30">
        <f>I56*(additiff+(bonuspoingdescieux/100))*multiplicatif*(1+foudre)*(1+zone)*IF(B14,1+F7/100,1)</f>
        <v>852.92064000000028</v>
      </c>
      <c r="C56" s="12">
        <f>J56*(additiff+(bonuspoingdescieux/100))*multiplicatif*(1+foudre)*(1+zone)*IF(B14,1+F7/100,1)</f>
        <v>399.07296000000008</v>
      </c>
      <c r="D56" s="12"/>
      <c r="E56" s="12"/>
      <c r="F56" s="18">
        <f t="shared" si="1"/>
        <v>2.7009153600000007</v>
      </c>
      <c r="G56" s="46">
        <f t="shared" si="0"/>
        <v>35122228.115963601</v>
      </c>
      <c r="H56" s="26">
        <f t="shared" si="2"/>
        <v>8.6361215852250908</v>
      </c>
      <c r="I56" s="45">
        <v>545</v>
      </c>
      <c r="J56" s="45">
        <v>255</v>
      </c>
      <c r="K56" s="45"/>
      <c r="L56" s="45"/>
      <c r="M56" s="45"/>
      <c r="N56" s="45"/>
      <c r="O56" s="45"/>
      <c r="P56" s="45"/>
    </row>
    <row r="57" spans="1:16">
      <c r="A57" s="48" t="s">
        <v>368</v>
      </c>
      <c r="B57" s="30">
        <f>I57*(additiff+(bonuspoingdescieux/100))*multiplicatif*(1+sacré)*(1+zone)*IF(B14,1+F7/100,1)</f>
        <v>515.7360000000001</v>
      </c>
      <c r="C57" s="12">
        <f>J57*(additiff+(bonuspoingdescieux/100))*multiplicatif*(1+sacré)*(1+zone)*IF(B14,1+F7/100,1)</f>
        <v>219.33600000000004</v>
      </c>
      <c r="D57" s="12"/>
      <c r="E57" s="12"/>
      <c r="F57" s="18">
        <f t="shared" si="1"/>
        <v>1.6331640000000005</v>
      </c>
      <c r="G57" s="46">
        <f t="shared" si="0"/>
        <v>21237377.301145628</v>
      </c>
      <c r="H57" s="26">
        <f t="shared" si="2"/>
        <v>5.2220084647941531</v>
      </c>
      <c r="I57" s="45">
        <v>435</v>
      </c>
      <c r="J57" s="45">
        <v>185</v>
      </c>
      <c r="K57" s="45"/>
      <c r="L57" s="45"/>
      <c r="M57" s="45"/>
      <c r="N57" s="45"/>
      <c r="O57" s="45"/>
      <c r="P57" s="45"/>
    </row>
    <row r="58" spans="1:16">
      <c r="A58" s="26"/>
      <c r="B58" s="30"/>
      <c r="C58" s="12"/>
      <c r="D58" s="12"/>
      <c r="E58" s="12"/>
      <c r="F58" s="18"/>
      <c r="G58" s="46"/>
      <c r="H58" s="26"/>
      <c r="I58" s="45"/>
      <c r="J58" s="45"/>
      <c r="K58" s="45"/>
      <c r="L58" s="45"/>
      <c r="M58" s="45"/>
      <c r="N58" s="45"/>
      <c r="O58" s="45"/>
      <c r="P58" s="45"/>
    </row>
    <row r="59" spans="1:16">
      <c r="A59" s="54" t="s">
        <v>200</v>
      </c>
      <c r="B59" s="30"/>
      <c r="C59" s="12"/>
      <c r="D59" s="12"/>
      <c r="E59" s="12"/>
      <c r="F59" s="18"/>
      <c r="G59" s="46"/>
      <c r="H59" s="26"/>
      <c r="I59" s="45"/>
      <c r="J59" s="45"/>
      <c r="K59" s="45"/>
      <c r="L59" s="45"/>
      <c r="M59" s="45"/>
      <c r="N59" s="45"/>
      <c r="O59" s="45"/>
      <c r="P59" s="45"/>
    </row>
    <row r="60" spans="1:16">
      <c r="A60" s="47"/>
      <c r="B60" s="30"/>
      <c r="C60" s="12"/>
      <c r="D60" s="12"/>
      <c r="E60" s="12"/>
      <c r="F60" s="18"/>
      <c r="G60" s="46"/>
      <c r="H60" s="26"/>
      <c r="I60" s="45"/>
      <c r="J60" s="45"/>
      <c r="K60" s="45"/>
      <c r="L60" s="45"/>
      <c r="M60" s="45"/>
      <c r="N60" s="45"/>
      <c r="O60" s="45"/>
      <c r="P60" s="45"/>
    </row>
    <row r="61" spans="1:16">
      <c r="A61" s="50" t="s">
        <v>367</v>
      </c>
      <c r="B61" s="30">
        <f>I61*additiff*multiplicatif*(1+physique)*(1+zone)*IF(B14,1+F7/100,1)</f>
        <v>1659.8400000000001</v>
      </c>
      <c r="C61" s="12"/>
      <c r="D61" s="12"/>
      <c r="E61" s="12"/>
      <c r="F61" s="18">
        <f>((((B61+D61)/$A$13)+E61)/100)/O61</f>
        <v>0.17520533333333332</v>
      </c>
      <c r="G61" s="46">
        <f>($C$10*(((B61+D61)*$A$13)+E61)/100)/O61</f>
        <v>2278339.3273259676</v>
      </c>
      <c r="H61" s="26">
        <f t="shared" si="2"/>
        <v>0.5602154674874954</v>
      </c>
      <c r="I61" s="45">
        <v>1400</v>
      </c>
      <c r="J61" s="45"/>
      <c r="K61" s="45"/>
      <c r="L61" s="45"/>
      <c r="M61" s="45"/>
      <c r="N61" s="45">
        <v>30</v>
      </c>
      <c r="O61" s="45">
        <f>N61*(1-'cdr et rcr'!$B$19/100)</f>
        <v>30</v>
      </c>
      <c r="P61" s="45"/>
    </row>
    <row r="62" spans="1:16">
      <c r="A62" s="26"/>
      <c r="B62" s="30"/>
      <c r="C62" s="12"/>
      <c r="D62" s="12"/>
      <c r="E62" s="12"/>
      <c r="F62" s="18"/>
      <c r="G62" s="46"/>
      <c r="H62" s="26"/>
      <c r="I62" s="45"/>
      <c r="J62" s="45"/>
      <c r="K62" s="45"/>
      <c r="L62" s="45"/>
      <c r="M62" s="45"/>
      <c r="N62" s="45"/>
      <c r="O62" s="45"/>
      <c r="P62" s="45"/>
    </row>
    <row r="63" spans="1:16">
      <c r="A63" s="54" t="s">
        <v>188</v>
      </c>
      <c r="B63" s="30"/>
      <c r="C63" s="12"/>
      <c r="D63" s="12"/>
      <c r="E63" s="12"/>
      <c r="F63" s="18"/>
      <c r="G63" s="46"/>
      <c r="H63" s="26"/>
      <c r="I63" s="45"/>
      <c r="J63" s="45"/>
      <c r="K63" s="45"/>
      <c r="L63" s="45"/>
      <c r="M63" s="45"/>
      <c r="N63" s="45"/>
      <c r="O63" s="45"/>
      <c r="P63" s="45"/>
    </row>
    <row r="64" spans="1:16">
      <c r="A64" s="47"/>
      <c r="B64" s="30"/>
      <c r="C64" s="12"/>
      <c r="D64" s="12"/>
      <c r="E64" s="12"/>
      <c r="F64" s="18"/>
      <c r="G64" s="46"/>
      <c r="H64" s="26"/>
      <c r="I64" s="45"/>
      <c r="J64" s="45"/>
      <c r="K64" s="45"/>
      <c r="L64" s="45"/>
      <c r="M64" s="45"/>
      <c r="N64" s="45"/>
      <c r="O64" s="45"/>
      <c r="P64" s="45"/>
    </row>
    <row r="65" spans="1:16" ht="12.75" customHeight="1">
      <c r="A65" s="51" t="s">
        <v>366</v>
      </c>
      <c r="B65" s="30"/>
      <c r="C65" s="12"/>
      <c r="D65" s="12"/>
      <c r="E65" s="12">
        <f>L65*additiff*multiplicatif*(1+feu)*(1+zone)*IF(B14,1+F7/100,1)</f>
        <v>183.76800000000003</v>
      </c>
      <c r="F65" s="18">
        <f>((((B65+D65)/$A$13)+E65)/100)*P65/O65</f>
        <v>0.6125600000000001</v>
      </c>
      <c r="G65" s="46">
        <f>($C$10*(((B65+D65)*$A$13)+E65)/100)*P65/O65</f>
        <v>798774.91892559221</v>
      </c>
      <c r="H65" s="26">
        <f t="shared" si="2"/>
        <v>0.19640887520841355</v>
      </c>
      <c r="I65" s="45"/>
      <c r="J65" s="45"/>
      <c r="K65" s="45"/>
      <c r="L65" s="45">
        <v>155</v>
      </c>
      <c r="M65" s="45"/>
      <c r="N65" s="45">
        <v>30</v>
      </c>
      <c r="O65" s="45">
        <f>N65*(1-'cdr et rcr'!$B$19/100)</f>
        <v>30</v>
      </c>
      <c r="P65" s="45">
        <v>10</v>
      </c>
    </row>
    <row r="66" spans="1:16" ht="12.75" customHeight="1">
      <c r="A66" s="26"/>
      <c r="B66" s="30"/>
      <c r="C66" s="12"/>
      <c r="D66" s="12"/>
      <c r="E66" s="12"/>
      <c r="F66" s="18"/>
      <c r="G66" s="46"/>
      <c r="H66" s="26"/>
      <c r="I66" s="45"/>
      <c r="J66" s="45"/>
      <c r="K66" s="45"/>
      <c r="L66" s="45"/>
      <c r="M66" s="45"/>
      <c r="N66" s="45"/>
      <c r="O66" s="45"/>
      <c r="P66" s="45"/>
    </row>
    <row r="67" spans="1:16">
      <c r="A67" s="54" t="s">
        <v>162</v>
      </c>
      <c r="B67" s="30"/>
      <c r="C67" s="12"/>
      <c r="D67" s="12"/>
      <c r="E67" s="12"/>
      <c r="F67" s="18"/>
      <c r="G67" s="46"/>
      <c r="H67" s="26"/>
      <c r="I67" s="45"/>
      <c r="J67" s="45"/>
      <c r="K67" s="45"/>
      <c r="L67" s="45"/>
      <c r="M67" s="45"/>
      <c r="N67" s="45"/>
      <c r="O67" s="45"/>
      <c r="P67" s="45"/>
    </row>
    <row r="68" spans="1:16">
      <c r="A68" s="47"/>
      <c r="B68" s="30"/>
      <c r="C68" s="12"/>
      <c r="D68" s="12"/>
      <c r="E68" s="12"/>
      <c r="F68" s="18"/>
      <c r="G68" s="46"/>
      <c r="H68" s="26"/>
      <c r="I68" s="45"/>
      <c r="J68" s="45"/>
      <c r="K68" s="45"/>
      <c r="L68" s="45"/>
      <c r="M68" s="45"/>
      <c r="N68" s="45"/>
      <c r="O68" s="45"/>
      <c r="P68" s="45"/>
    </row>
    <row r="69" spans="1:16">
      <c r="A69" s="49" t="s">
        <v>365</v>
      </c>
      <c r="B69" s="30">
        <f>I69*additiff*multiplicatif*(1+foudre)*IF(B14,1+F7/100,1)</f>
        <v>78.249600000000015</v>
      </c>
      <c r="C69" s="12"/>
      <c r="D69" s="12"/>
      <c r="E69" s="12"/>
      <c r="F69" s="18">
        <f>((((B69+D69)/$A$13)+E69)/100)*(P69/O69)</f>
        <v>4.9558080000000011E-2</v>
      </c>
      <c r="G69" s="46">
        <f>$C$10*((((B69+D69)*$A$13)+E69)/100)*(P69/O69)</f>
        <v>644444.55258648796</v>
      </c>
      <c r="H69" s="26">
        <f t="shared" si="2"/>
        <v>0.15846094651789153</v>
      </c>
      <c r="I69" s="45">
        <v>50</v>
      </c>
      <c r="J69" s="45"/>
      <c r="K69" s="45"/>
      <c r="L69" s="45"/>
      <c r="M69" s="45"/>
      <c r="N69" s="45">
        <v>20</v>
      </c>
      <c r="O69" s="45">
        <f>N69*(1-'cdr et rcr'!$B$19/100)</f>
        <v>20</v>
      </c>
      <c r="P69" s="45">
        <v>4</v>
      </c>
    </row>
    <row r="70" spans="1:16">
      <c r="A70" s="26"/>
      <c r="B70" s="30"/>
      <c r="C70" s="12"/>
      <c r="D70" s="12"/>
      <c r="E70" s="12"/>
      <c r="F70" s="18"/>
      <c r="G70" s="46"/>
      <c r="H70" s="26"/>
      <c r="I70" s="45"/>
      <c r="J70" s="45"/>
      <c r="K70" s="45"/>
      <c r="L70" s="45"/>
      <c r="M70" s="45"/>
      <c r="N70" s="45"/>
      <c r="O70" s="45"/>
      <c r="P70" s="45"/>
    </row>
    <row r="71" spans="1:16">
      <c r="A71" s="54" t="s">
        <v>150</v>
      </c>
      <c r="B71" s="30"/>
      <c r="C71" s="12"/>
      <c r="D71" s="12"/>
      <c r="E71" s="12"/>
      <c r="F71" s="18"/>
      <c r="G71" s="46"/>
      <c r="H71" s="26"/>
      <c r="I71" s="45"/>
      <c r="J71" s="45"/>
      <c r="K71" s="45"/>
      <c r="L71" s="45"/>
      <c r="M71" s="45"/>
      <c r="N71" s="45"/>
      <c r="O71" s="45"/>
      <c r="P71" s="45"/>
    </row>
    <row r="72" spans="1:16">
      <c r="A72" s="47"/>
      <c r="B72" s="30"/>
      <c r="C72" s="12"/>
      <c r="D72" s="12"/>
      <c r="E72" s="12"/>
      <c r="F72" s="18"/>
      <c r="G72" s="46"/>
      <c r="H72" s="26"/>
      <c r="I72" s="45"/>
      <c r="J72" s="45"/>
      <c r="K72" s="45"/>
      <c r="L72" s="45"/>
      <c r="M72" s="45"/>
      <c r="N72" s="45"/>
      <c r="O72" s="45"/>
      <c r="P72" s="45"/>
    </row>
    <row r="73" spans="1:16">
      <c r="A73" s="50" t="s">
        <v>364</v>
      </c>
      <c r="B73" s="30">
        <f>I73*additiff*multiplicatif*(1+physique)*(1+zone)*IF(B14,1+F7/100,1)</f>
        <v>610.58400000000006</v>
      </c>
      <c r="C73" s="12"/>
      <c r="D73" s="12"/>
      <c r="E73" s="12"/>
      <c r="F73" s="18">
        <f>((((B73+D73)/$A$13)+E73)/100)*(P73/O73)</f>
        <v>0.24168950000000003</v>
      </c>
      <c r="G73" s="46">
        <f>$C$10*((((B73+D73)*$A$13)+E73)/100)*(P73/O73)</f>
        <v>3142887.7327844827</v>
      </c>
      <c r="H73" s="26">
        <f t="shared" si="2"/>
        <v>0.77279722970373255</v>
      </c>
      <c r="I73" s="45">
        <v>515</v>
      </c>
      <c r="J73" s="45"/>
      <c r="K73" s="45"/>
      <c r="L73" s="45"/>
      <c r="M73" s="45"/>
      <c r="N73" s="45">
        <v>16</v>
      </c>
      <c r="O73" s="45">
        <f>N73*(1-'cdr et rcr'!$B$19/100)</f>
        <v>16</v>
      </c>
      <c r="P73" s="45">
        <v>2</v>
      </c>
    </row>
    <row r="74" spans="1:16">
      <c r="A74" s="51" t="s">
        <v>363</v>
      </c>
      <c r="B74" s="30"/>
      <c r="C74" s="12"/>
      <c r="D74" s="12"/>
      <c r="E74" s="12">
        <f>L74*additiff*multiplicatif*(1+feu)*IF(B14,1+F7/100,1)</f>
        <v>326.04000000000002</v>
      </c>
      <c r="F74" s="18">
        <f>(((B74+D74)/$A$13)+E74)/100*(P74/O74)</f>
        <v>0.40755000000000002</v>
      </c>
      <c r="G74" s="46">
        <f>$C$10*(((B74+D74)*$A$13)+E74)/100*(P74/O74)</f>
        <v>531442.99041420443</v>
      </c>
      <c r="H74" s="26">
        <f t="shared" si="2"/>
        <v>0.13067525971527513</v>
      </c>
      <c r="I74" s="45"/>
      <c r="J74" s="45"/>
      <c r="K74" s="45"/>
      <c r="L74" s="45">
        <f>550/2</f>
        <v>275</v>
      </c>
      <c r="M74" s="45"/>
      <c r="N74" s="45">
        <v>16</v>
      </c>
      <c r="O74" s="45">
        <f>N74*(1-'cdr et rcr'!$B$19/100)</f>
        <v>16</v>
      </c>
      <c r="P74" s="45">
        <v>2</v>
      </c>
    </row>
    <row r="75" spans="1:16">
      <c r="A75" s="48" t="s">
        <v>362</v>
      </c>
      <c r="B75" s="30">
        <f>I75*additiff*multiplicatif*(1+sacré)*(1+zone)*IF(B14,1+F7/100,1)</f>
        <v>219.33600000000004</v>
      </c>
      <c r="C75" s="12"/>
      <c r="D75" s="12"/>
      <c r="E75" s="12"/>
      <c r="F75" s="18">
        <f>(((B75+D75)/$A$13)+E75)/100*(P75/O75)</f>
        <v>8.6820500000000023E-2</v>
      </c>
      <c r="G75" s="46">
        <f>$C$10*(((B75+D75)*$A$13)+E75)/100*(P75/O75)</f>
        <v>1128998.5059517073</v>
      </c>
      <c r="H75" s="26">
        <f t="shared" si="2"/>
        <v>0.2776067718353214</v>
      </c>
      <c r="I75" s="45">
        <v>185</v>
      </c>
      <c r="J75" s="45"/>
      <c r="K75" s="45"/>
      <c r="L75" s="45"/>
      <c r="M75" s="45"/>
      <c r="N75" s="45">
        <v>16</v>
      </c>
      <c r="O75" s="45">
        <f>N75*(1-'cdr et rcr'!$B$19/100)</f>
        <v>16</v>
      </c>
      <c r="P75" s="45">
        <v>2</v>
      </c>
    </row>
    <row r="76" spans="1:16">
      <c r="A76" s="26"/>
      <c r="B76" s="30"/>
      <c r="C76" s="12"/>
      <c r="D76" s="12"/>
      <c r="E76" s="12"/>
      <c r="F76" s="18"/>
      <c r="G76" s="46"/>
      <c r="H76" s="26"/>
      <c r="I76" s="45"/>
      <c r="J76" s="45"/>
      <c r="K76" s="45"/>
      <c r="L76" s="45"/>
      <c r="M76" s="45"/>
      <c r="N76" s="45"/>
      <c r="O76" s="45"/>
      <c r="P76" s="45"/>
    </row>
    <row r="77" spans="1:16">
      <c r="A77" s="54" t="s">
        <v>137</v>
      </c>
      <c r="B77" s="55" t="s">
        <v>341</v>
      </c>
      <c r="C77" s="11">
        <v>0</v>
      </c>
      <c r="D77" s="12"/>
      <c r="E77" s="12"/>
      <c r="F77" s="18"/>
      <c r="G77" s="46"/>
      <c r="H77" s="26"/>
      <c r="I77" s="45"/>
      <c r="J77" s="45"/>
      <c r="K77" s="45"/>
      <c r="L77" s="45"/>
      <c r="M77" s="45"/>
      <c r="N77" s="45"/>
      <c r="O77" s="45"/>
      <c r="P77" s="45"/>
    </row>
    <row r="78" spans="1:16">
      <c r="A78" s="48"/>
      <c r="B78" s="30">
        <f>I78*(additiff+(bonusblame/100))*multiplicatif*(1+sacré)*(1+zone)*IF(B14,1+F7/100,1)</f>
        <v>1375.2960000000003</v>
      </c>
      <c r="C78" s="12"/>
      <c r="D78" s="12"/>
      <c r="E78" s="12"/>
      <c r="F78" s="18">
        <f>(((B78+D78)/$A$13)+E78)/100/IF(W11,"1",O78)</f>
        <v>0.29034026666666674</v>
      </c>
      <c r="G78" s="46">
        <f>$C$10*(((B78+D78)*$A$13)+E78)/100/IF(W11,"1",O78)*IF(W12,IF(V12=" =1","2",IF(V12=" =2+","3")),"1")</f>
        <v>3775533.7424258892</v>
      </c>
      <c r="H78" s="26">
        <f t="shared" si="2"/>
        <v>0.92835706040784949</v>
      </c>
      <c r="I78" s="45">
        <v>1160</v>
      </c>
      <c r="J78" s="45"/>
      <c r="K78" s="45"/>
      <c r="L78" s="45"/>
      <c r="M78" s="45"/>
      <c r="N78" s="45">
        <v>15</v>
      </c>
      <c r="O78" s="45">
        <f>N78*(1-'cdr et rcr'!$B$19/100)</f>
        <v>15</v>
      </c>
      <c r="P78" s="45"/>
    </row>
    <row r="79" spans="1:16">
      <c r="A79" s="48" t="s">
        <v>361</v>
      </c>
      <c r="B79" s="30">
        <f>I79*(additiff+(bonusblame/100))*multiplicatif*(1+sacré)*(1+zone)*IF(B14,1+F7/100,1)</f>
        <v>1375.2960000000003</v>
      </c>
      <c r="C79" s="12"/>
      <c r="D79" s="12"/>
      <c r="E79" s="12"/>
      <c r="F79" s="18">
        <f>(((B79+D79)/$A$13)+E79)/100/IF(W11,"1",O79)</f>
        <v>0.29034026666666674</v>
      </c>
      <c r="G79" s="46">
        <f>$C$10*(((B79+D79)*$A$13)+E79)/100/IF(W11,"1",O79)*IF(W12,IF(V12=" =1","2",IF(V12=" =2+","3")),"1")</f>
        <v>3775533.7424258892</v>
      </c>
      <c r="H79" s="26">
        <f t="shared" si="2"/>
        <v>0.92835706040784949</v>
      </c>
      <c r="I79" s="45">
        <v>1160</v>
      </c>
      <c r="J79" s="45"/>
      <c r="K79" s="45"/>
      <c r="L79" s="45"/>
      <c r="M79" s="45"/>
      <c r="N79" s="45">
        <v>15</v>
      </c>
      <c r="O79" s="45">
        <f>N79*(1-'cdr et rcr'!$B$19/100)</f>
        <v>15</v>
      </c>
      <c r="P79" s="45"/>
    </row>
    <row r="80" spans="1:16">
      <c r="A80" s="48" t="s">
        <v>360</v>
      </c>
      <c r="B80" s="30">
        <f>I80*(additiff+(bonusblame/100))*multiplicatif*(1+sacré)*(1+zone)*IF(B14,1+F7/100,1)</f>
        <v>1375.2960000000003</v>
      </c>
      <c r="C80" s="12"/>
      <c r="D80" s="12"/>
      <c r="E80" s="12"/>
      <c r="F80" s="18">
        <f>(((B80+D80)/$A$13)+E80)/100/IF(W11,"1",O80)</f>
        <v>0.29034026666666674</v>
      </c>
      <c r="G80" s="46">
        <f>$C$10*(((B80+D80)*$A$13)+E80)/100/IF(W11,"1",O80)*IF(W12,IF(V12=" =1","2",IF(V12=" =2+","3")),"1")</f>
        <v>3775533.7424258892</v>
      </c>
      <c r="H80" s="26">
        <f t="shared" si="2"/>
        <v>0.92835706040784949</v>
      </c>
      <c r="I80" s="45">
        <v>1160</v>
      </c>
      <c r="J80" s="45"/>
      <c r="K80" s="45"/>
      <c r="L80" s="45"/>
      <c r="M80" s="45"/>
      <c r="N80" s="45">
        <v>15</v>
      </c>
      <c r="O80" s="45">
        <f>N80*(1-'cdr et rcr'!$B$19/100)</f>
        <v>15</v>
      </c>
      <c r="P80" s="45"/>
    </row>
    <row r="81" spans="1:16">
      <c r="A81" s="48" t="s">
        <v>359</v>
      </c>
      <c r="B81" s="30">
        <f>I81*(additiff+(bonusblame/100))*multiplicatif*(1+sacré)*(1+zone)*IF(B14,1+F7/100,1)</f>
        <v>1375.2960000000003</v>
      </c>
      <c r="C81" s="12"/>
      <c r="D81" s="12"/>
      <c r="E81" s="12"/>
      <c r="F81" s="18">
        <f>(((B81+D81)/$A$13)+E81)/100/IF(W11,"1",O81)</f>
        <v>0.29034026666666674</v>
      </c>
      <c r="G81" s="46">
        <f>$C$10*(((B81+D81)*$A$13)+E81)/100/IF(W11,"1",O81)*IF(W12,IF(V12=" =1","2",IF(V12=" =2+","3")),"1")</f>
        <v>3775533.7424258892</v>
      </c>
      <c r="H81" s="26">
        <f t="shared" si="2"/>
        <v>0.92835706040784949</v>
      </c>
      <c r="I81" s="45">
        <v>1160</v>
      </c>
      <c r="J81" s="45"/>
      <c r="K81" s="45"/>
      <c r="L81" s="45"/>
      <c r="M81" s="45"/>
      <c r="N81" s="45">
        <v>15</v>
      </c>
      <c r="O81" s="45">
        <f>N81*(1-'cdr et rcr'!$B$19/100)</f>
        <v>15</v>
      </c>
      <c r="P81" s="45"/>
    </row>
    <row r="82" spans="1:16">
      <c r="A82" s="50" t="s">
        <v>358</v>
      </c>
      <c r="B82" s="30">
        <f>I82*(additiff+(bonusblame/100))*multiplicatif*(1+physique)*(1+zone)*IF(B14,1+F7/100,1)</f>
        <v>1375.2960000000003</v>
      </c>
      <c r="C82" s="12"/>
      <c r="D82" s="12"/>
      <c r="E82" s="12"/>
      <c r="F82" s="18">
        <f>(((B82+D82)/$A$13)+E82)/100/IF(W11,"1",O82)</f>
        <v>0.29034026666666674</v>
      </c>
      <c r="G82" s="46">
        <f>$C$10*(((B82+D82)*$A$13)+E82)/100/IF(W11,"1",O82)*IF(W12,IF(V12=" =1","2",IF(V12=" =2+","3")),"1")</f>
        <v>3775533.7424258892</v>
      </c>
      <c r="H82" s="26">
        <f t="shared" si="2"/>
        <v>0.92835706040784949</v>
      </c>
      <c r="I82" s="45">
        <v>1160</v>
      </c>
      <c r="J82" s="45"/>
      <c r="K82" s="45"/>
      <c r="L82" s="45"/>
      <c r="M82" s="45"/>
      <c r="N82" s="45">
        <v>15</v>
      </c>
      <c r="O82" s="45">
        <f>N82*(1-'cdr et rcr'!$B$19/100)</f>
        <v>15</v>
      </c>
      <c r="P82" s="45"/>
    </row>
    <row r="83" spans="1:16">
      <c r="A83" s="51" t="s">
        <v>357</v>
      </c>
      <c r="B83" s="30">
        <f>I83*(additiff+(bonusblame/100))*multiplicatif*(1+feu)*(1+zone)*IF(B14,1+F7/100,1)</f>
        <v>1375.2960000000003</v>
      </c>
      <c r="C83" s="12"/>
      <c r="D83" s="12"/>
      <c r="E83" s="12"/>
      <c r="F83" s="18">
        <f>(((B83+D83)/$A$13)+E83)/100/IF(W11,"1",O83)</f>
        <v>0.29034026666666674</v>
      </c>
      <c r="G83" s="46">
        <f>$C$10*(((B83+D83)*$A$13)+E83)/100/IF(W11,"1",O83)*IF(W12,IF(V12=" =1","2",IF(V12=" =2+","3")),"1")</f>
        <v>3775533.7424258892</v>
      </c>
      <c r="H83" s="26">
        <f t="shared" si="2"/>
        <v>0.92835706040784949</v>
      </c>
      <c r="I83" s="45">
        <v>1160</v>
      </c>
      <c r="J83" s="45"/>
      <c r="K83" s="45"/>
      <c r="L83" s="45"/>
      <c r="M83" s="45"/>
      <c r="N83" s="45">
        <v>15</v>
      </c>
      <c r="O83" s="45">
        <f>N83*(1-'cdr et rcr'!$B$19/100)</f>
        <v>15</v>
      </c>
      <c r="P83" s="45"/>
    </row>
    <row r="84" spans="1:16">
      <c r="A84" s="26"/>
      <c r="B84" s="30"/>
      <c r="C84" s="12"/>
      <c r="D84" s="12"/>
      <c r="E84" s="12"/>
      <c r="F84" s="18"/>
      <c r="G84" s="46"/>
      <c r="H84" s="26"/>
      <c r="I84" s="45"/>
      <c r="J84" s="45"/>
      <c r="K84" s="45"/>
      <c r="L84" s="45"/>
      <c r="M84" s="45"/>
      <c r="N84" s="45"/>
      <c r="O84" s="45"/>
      <c r="P84" s="45"/>
    </row>
    <row r="85" spans="1:16">
      <c r="A85" s="54" t="s">
        <v>125</v>
      </c>
      <c r="B85" s="55" t="s">
        <v>341</v>
      </c>
      <c r="C85" s="11">
        <v>0</v>
      </c>
      <c r="D85" s="12"/>
      <c r="E85" s="12"/>
      <c r="F85" s="18"/>
      <c r="G85" s="46"/>
      <c r="H85" s="26"/>
      <c r="I85" s="45"/>
      <c r="J85" s="45"/>
      <c r="K85" s="45"/>
      <c r="L85" s="45"/>
      <c r="M85" s="45"/>
      <c r="N85" s="45"/>
      <c r="O85" s="45"/>
      <c r="P85" s="45"/>
    </row>
    <row r="86" spans="1:16">
      <c r="A86" s="50"/>
      <c r="B86" s="30">
        <f>I86*(additiff+(bonusphalange/100))*multiplicatif*(1+physique)*(1+zone)*IF(bBuffphalange,2,1)*IF(B14,1+F7/100,1)</f>
        <v>580.94400000000007</v>
      </c>
      <c r="C86" s="12"/>
      <c r="D86" s="12"/>
      <c r="E86" s="12"/>
      <c r="F86" s="18">
        <f t="shared" ref="F86:F88" si="3">(((B86+D86)/$A$13)+E86)/100</f>
        <v>1.8396560000000002</v>
      </c>
      <c r="G86" s="46">
        <f t="shared" ref="G86:G88" si="4">$C$10*(((B86+D86)*$A$13)+E86)/100</f>
        <v>23922562.936922658</v>
      </c>
      <c r="H86" s="26">
        <f t="shared" ref="H86:H127" si="5">G86/$C$2</f>
        <v>5.8822624086187005</v>
      </c>
      <c r="I86" s="45">
        <v>490</v>
      </c>
      <c r="J86" s="45"/>
      <c r="K86" s="45"/>
      <c r="L86" s="45"/>
      <c r="M86" s="45"/>
      <c r="N86" s="45"/>
      <c r="O86" s="45"/>
      <c r="P86" s="45"/>
    </row>
    <row r="87" spans="1:16">
      <c r="A87" s="50" t="s">
        <v>355</v>
      </c>
      <c r="B87" s="30">
        <f>I87*(additiff+(bonusphalange/100))*multiplicatif*(1+physique)*(1+zone)*IF(bBuffphalange,2,1)*IF(B14,1+F7/100,1)</f>
        <v>213.40800000000004</v>
      </c>
      <c r="C87" s="12"/>
      <c r="D87" s="12"/>
      <c r="E87" s="12"/>
      <c r="F87" s="18">
        <f t="shared" si="3"/>
        <v>0.67579200000000017</v>
      </c>
      <c r="G87" s="46">
        <f t="shared" si="4"/>
        <v>8787880.2625430189</v>
      </c>
      <c r="H87" s="26">
        <f t="shared" si="5"/>
        <v>2.1608310888803395</v>
      </c>
      <c r="I87" s="45">
        <v>180</v>
      </c>
      <c r="J87" s="45"/>
      <c r="K87" s="45"/>
      <c r="L87" s="45"/>
      <c r="M87" s="45"/>
      <c r="N87" s="45"/>
      <c r="O87" s="45"/>
      <c r="P87" s="45"/>
    </row>
    <row r="88" spans="1:16">
      <c r="A88" s="50" t="s">
        <v>354</v>
      </c>
      <c r="B88" s="30">
        <f>I88*(additiff+(bonusphalange/100))*multiplicatif*(1+physique)*(1+zone)*IF(bBuffphalange,2,1)*IF(B14,1+F7/100,1)</f>
        <v>580.94400000000007</v>
      </c>
      <c r="C88" s="12"/>
      <c r="D88" s="12"/>
      <c r="E88" s="12"/>
      <c r="F88" s="18">
        <f t="shared" si="3"/>
        <v>1.8396560000000002</v>
      </c>
      <c r="G88" s="46">
        <f t="shared" si="4"/>
        <v>23922562.936922658</v>
      </c>
      <c r="H88" s="26">
        <f t="shared" si="5"/>
        <v>5.8822624086187005</v>
      </c>
      <c r="I88" s="45">
        <v>490</v>
      </c>
      <c r="J88" s="45"/>
      <c r="K88" s="45"/>
      <c r="L88" s="45"/>
      <c r="M88" s="45"/>
      <c r="N88" s="45"/>
      <c r="O88" s="45"/>
      <c r="P88" s="45"/>
    </row>
    <row r="89" spans="1:16">
      <c r="A89" s="50" t="s">
        <v>353</v>
      </c>
      <c r="B89" s="30">
        <f>I89*(additiff+(bonusphalange/100))*multiplicatif*(1+physique)*(1+zone)*IF(bBuffphalange,2,1)*IF(B14,1+F7/100,1)</f>
        <v>0</v>
      </c>
      <c r="C89" s="12"/>
      <c r="D89" s="12"/>
      <c r="E89" s="12"/>
      <c r="F89" s="18"/>
      <c r="G89" s="46"/>
      <c r="H89" s="26"/>
      <c r="I89" s="45"/>
      <c r="J89" s="45"/>
      <c r="K89" s="45"/>
      <c r="L89" s="45"/>
      <c r="M89" s="45"/>
      <c r="N89" s="45"/>
      <c r="O89" s="45"/>
      <c r="P89" s="45"/>
    </row>
    <row r="90" spans="1:16">
      <c r="A90" s="26"/>
      <c r="B90" s="30"/>
      <c r="C90" s="12"/>
      <c r="D90" s="12"/>
      <c r="E90" s="12"/>
      <c r="F90" s="18"/>
      <c r="G90" s="46"/>
      <c r="H90" s="26"/>
      <c r="I90" s="45"/>
      <c r="J90" s="45"/>
      <c r="K90" s="45"/>
      <c r="L90" s="45"/>
      <c r="M90" s="45"/>
      <c r="N90" s="45"/>
      <c r="O90" s="45"/>
      <c r="P90" s="45"/>
    </row>
    <row r="91" spans="1:16">
      <c r="A91" s="54" t="s">
        <v>78</v>
      </c>
      <c r="B91" s="55" t="s">
        <v>341</v>
      </c>
      <c r="C91" s="11">
        <v>0</v>
      </c>
      <c r="D91" s="12"/>
      <c r="E91" s="12"/>
      <c r="F91" s="18"/>
      <c r="G91" s="46"/>
      <c r="H91" s="26"/>
      <c r="I91" s="45"/>
      <c r="J91" s="45"/>
      <c r="K91" s="45"/>
      <c r="L91" s="45"/>
      <c r="M91" s="45"/>
      <c r="N91" s="45"/>
      <c r="O91" s="45"/>
      <c r="P91" s="45"/>
    </row>
    <row r="92" spans="1:16">
      <c r="A92" s="50"/>
      <c r="B92" s="30">
        <f>I92*(additiff+(bonuscouperet/100))*multiplicatif*(1+physique)*(1+zone)*IF(B14,1+F7/100,1)</f>
        <v>2015.5200000000002</v>
      </c>
      <c r="C92" s="12"/>
      <c r="D92" s="12"/>
      <c r="E92" s="12"/>
      <c r="F92" s="18">
        <f t="shared" ref="F92:F97" si="6">(((B92+D92)/$A$13)+E92)/100/O92</f>
        <v>0.21274933333333335</v>
      </c>
      <c r="G92" s="46">
        <f t="shared" ref="G92:G97" si="7">$C$10*(((B92+D92)*$A$13)+E92)/100/O92</f>
        <v>2766554.8974672467</v>
      </c>
      <c r="H92" s="26">
        <f t="shared" si="5"/>
        <v>0.68026163909195869</v>
      </c>
      <c r="I92" s="45">
        <v>1700</v>
      </c>
      <c r="J92" s="45"/>
      <c r="K92" s="45"/>
      <c r="L92" s="45"/>
      <c r="M92" s="45"/>
      <c r="N92" s="45">
        <v>30</v>
      </c>
      <c r="O92" s="45">
        <f>N92*(1-'cdr et rcr'!$B$19/100)</f>
        <v>30</v>
      </c>
      <c r="P92" s="45"/>
    </row>
    <row r="93" spans="1:16">
      <c r="A93" s="51" t="s">
        <v>351</v>
      </c>
      <c r="B93" s="30">
        <f>I93*(additiff+(bonuscouperet/100))*multiplicatif*(1+feu)*(1+zone)*IF(B14,1+F7/100,1)</f>
        <v>2015.5200000000002</v>
      </c>
      <c r="C93" s="12"/>
      <c r="D93" s="12">
        <f>K93*(additiff+(bonuscouperet/100))*multiplicatif*(1+feu)*(1+zone)*IF(B14,1+F7/100,1)</f>
        <v>367.53600000000006</v>
      </c>
      <c r="E93" s="12"/>
      <c r="F93" s="18">
        <f t="shared" si="6"/>
        <v>0.25154480000000007</v>
      </c>
      <c r="G93" s="46">
        <f t="shared" si="7"/>
        <v>3271044.319946568</v>
      </c>
      <c r="H93" s="26">
        <f t="shared" si="5"/>
        <v>0.80430934974990409</v>
      </c>
      <c r="I93" s="45">
        <v>1700</v>
      </c>
      <c r="J93" s="45"/>
      <c r="K93" s="45">
        <v>310</v>
      </c>
      <c r="L93" s="45"/>
      <c r="M93" s="45"/>
      <c r="N93" s="45">
        <v>30</v>
      </c>
      <c r="O93" s="45">
        <f>N93*(1-'cdr et rcr'!$B$19/100)</f>
        <v>30</v>
      </c>
      <c r="P93" s="45"/>
    </row>
    <row r="94" spans="1:16">
      <c r="A94" s="49" t="s">
        <v>350</v>
      </c>
      <c r="B94" s="30">
        <f>I94*(additiff+(bonuscouperet/100))*multiplicatif*(1+foudre)*(1+zone)*IF(B14,1+F7/100,1)</f>
        <v>2660.4864000000007</v>
      </c>
      <c r="C94" s="12">
        <f>J94*(additiff+(bonuscouperet/100))*multiplicatif*(1+foudre)*(1+zone)*IF(B14,1+F7/100,1)</f>
        <v>946.82016000000021</v>
      </c>
      <c r="D94" s="12"/>
      <c r="E94" s="12"/>
      <c r="F94" s="18">
        <f t="shared" si="6"/>
        <v>0.28082912000000004</v>
      </c>
      <c r="G94" s="46">
        <f t="shared" si="7"/>
        <v>3651852.4646567656</v>
      </c>
      <c r="H94" s="26">
        <f t="shared" si="5"/>
        <v>0.89794536360138555</v>
      </c>
      <c r="I94" s="45">
        <v>1700</v>
      </c>
      <c r="J94" s="45">
        <v>605</v>
      </c>
      <c r="K94" s="45"/>
      <c r="L94" s="45"/>
      <c r="M94" s="45"/>
      <c r="N94" s="45">
        <v>30</v>
      </c>
      <c r="O94" s="45">
        <f>N94*(1-'cdr et rcr'!$B$19/100)</f>
        <v>30</v>
      </c>
      <c r="P94" s="45"/>
    </row>
    <row r="95" spans="1:16">
      <c r="A95" s="50" t="s">
        <v>349</v>
      </c>
      <c r="B95" s="30">
        <f>I95*(additiff+(bonuscouperet/100))*multiplicatif*(1+physique)*(1+zone)*IF(B14,1+F7/100,1)</f>
        <v>2015.5200000000002</v>
      </c>
      <c r="C95" s="12">
        <f>J95*(additiff+(bonuscouperet/100))*multiplicatif*(1+physique)*(1+zone)*IF(B14,1+F7/100,1)</f>
        <v>331.96800000000002</v>
      </c>
      <c r="D95" s="12"/>
      <c r="E95" s="12"/>
      <c r="F95" s="18">
        <f t="shared" si="6"/>
        <v>0.21274933333333335</v>
      </c>
      <c r="G95" s="46">
        <f t="shared" si="7"/>
        <v>2766554.8974672467</v>
      </c>
      <c r="H95" s="26">
        <f t="shared" si="5"/>
        <v>0.68026163909195869</v>
      </c>
      <c r="I95" s="45">
        <v>1700</v>
      </c>
      <c r="J95" s="45">
        <v>280</v>
      </c>
      <c r="K95" s="45"/>
      <c r="L95" s="45"/>
      <c r="M95" s="45"/>
      <c r="N95" s="45">
        <v>30</v>
      </c>
      <c r="O95" s="45">
        <f>N95*(1-'cdr et rcr'!$B$19/100)</f>
        <v>30</v>
      </c>
      <c r="P95" s="45"/>
    </row>
    <row r="96" spans="1:16">
      <c r="A96" s="49" t="s">
        <v>348</v>
      </c>
      <c r="B96" s="30">
        <f>I96*(additiff+(bonuscouperet/100))*multiplicatif*(1+foudre)*(1+zone)*IF(B14,1+F7/100,1)</f>
        <v>2660.4864000000007</v>
      </c>
      <c r="C96" s="12"/>
      <c r="D96" s="12"/>
      <c r="E96" s="12"/>
      <c r="F96" s="18">
        <f t="shared" si="6"/>
        <v>0.28082912000000004</v>
      </c>
      <c r="G96" s="46">
        <f t="shared" si="7"/>
        <v>3651852.4646567656</v>
      </c>
      <c r="H96" s="26">
        <f t="shared" si="5"/>
        <v>0.89794536360138555</v>
      </c>
      <c r="I96" s="45">
        <v>1700</v>
      </c>
      <c r="J96" s="45"/>
      <c r="K96" s="45"/>
      <c r="L96" s="45"/>
      <c r="M96" s="45"/>
      <c r="N96" s="45">
        <v>30</v>
      </c>
      <c r="O96" s="45">
        <f>N96*(1-'cdr et rcr'!$B$19/100)</f>
        <v>30</v>
      </c>
      <c r="P96" s="45"/>
    </row>
    <row r="97" spans="1:16">
      <c r="A97" s="48" t="s">
        <v>347</v>
      </c>
      <c r="B97" s="30">
        <f>I97*(additiff+(bonuscouperet/100))*multiplicatif*(1+sacré)*(1+zone)*IF(B14,1+F7/100,1)</f>
        <v>2015.5200000000002</v>
      </c>
      <c r="C97" s="12">
        <f>J97*(additiff+(bonuscouperet/100))*multiplicatif*(1+sacré)*(1+zone)*IF(B14,1+F7/100,1)</f>
        <v>272.68800000000005</v>
      </c>
      <c r="D97" s="12"/>
      <c r="E97" s="12"/>
      <c r="F97" s="18">
        <f t="shared" si="6"/>
        <v>0.21274933333333335</v>
      </c>
      <c r="G97" s="46">
        <f t="shared" si="7"/>
        <v>2766554.8974672467</v>
      </c>
      <c r="H97" s="26">
        <f t="shared" si="5"/>
        <v>0.68026163909195869</v>
      </c>
      <c r="I97" s="45">
        <v>1700</v>
      </c>
      <c r="J97" s="45">
        <v>230</v>
      </c>
      <c r="K97" s="45"/>
      <c r="L97" s="45"/>
      <c r="M97" s="45"/>
      <c r="N97" s="45">
        <v>30</v>
      </c>
      <c r="O97" s="45">
        <f>N97*(1-'cdr et rcr'!$B$19/100)</f>
        <v>30</v>
      </c>
      <c r="P97" s="45"/>
    </row>
    <row r="98" spans="1:16">
      <c r="A98" s="47"/>
      <c r="B98" s="30"/>
      <c r="C98" s="12"/>
      <c r="D98" s="12"/>
      <c r="E98" s="12"/>
      <c r="F98" s="18"/>
      <c r="G98" s="46"/>
      <c r="H98" s="26"/>
      <c r="I98" s="45"/>
      <c r="J98" s="45"/>
      <c r="K98" s="45"/>
      <c r="L98" s="45"/>
      <c r="M98" s="45"/>
      <c r="N98" s="45"/>
      <c r="O98" s="45"/>
      <c r="P98" s="45"/>
    </row>
    <row r="99" spans="1:16">
      <c r="A99" s="54" t="s">
        <v>66</v>
      </c>
      <c r="B99" s="30"/>
      <c r="C99" s="12"/>
      <c r="D99" s="12"/>
      <c r="E99" s="12"/>
      <c r="F99" s="18"/>
      <c r="G99" s="46"/>
      <c r="H99" s="26"/>
      <c r="I99" s="45"/>
      <c r="J99" s="45"/>
      <c r="K99" s="45"/>
      <c r="L99" s="45"/>
      <c r="M99" s="45"/>
      <c r="N99" s="45"/>
      <c r="O99" s="45"/>
      <c r="P99" s="45"/>
    </row>
    <row r="100" spans="1:16">
      <c r="A100" s="47"/>
      <c r="B100" s="30"/>
      <c r="C100" s="12"/>
      <c r="D100" s="12"/>
      <c r="E100" s="12"/>
      <c r="F100" s="18"/>
      <c r="G100" s="46"/>
      <c r="H100" s="26"/>
      <c r="I100" s="45"/>
      <c r="J100" s="45"/>
      <c r="K100" s="45"/>
      <c r="L100" s="45"/>
      <c r="M100" s="45"/>
      <c r="N100" s="45"/>
      <c r="O100" s="45"/>
      <c r="P100" s="45"/>
    </row>
    <row r="101" spans="1:16">
      <c r="A101" s="51" t="s">
        <v>448</v>
      </c>
      <c r="B101" s="30"/>
      <c r="C101" s="12"/>
      <c r="D101" s="12">
        <f>K101*additiff*multiplicatif*(1+feu)*IF(B14,1+F7/100,1)</f>
        <v>181.79200000000006</v>
      </c>
      <c r="E101" s="12"/>
      <c r="F101" s="18">
        <f>(((B101+D101)/$A$13)+E101)/100*(P101/O101)</f>
        <v>0.12792770370370371</v>
      </c>
      <c r="G101" s="46">
        <f>$C$10*(((B101+D101)*$A$13)+E101)/100*(P101/O101)</f>
        <v>1663549.350111024</v>
      </c>
      <c r="H101" s="26">
        <f t="shared" si="5"/>
        <v>0.40904621435594901</v>
      </c>
      <c r="I101" s="45"/>
      <c r="J101" s="45"/>
      <c r="K101" s="58">
        <f>460/3</f>
        <v>153.33333333333334</v>
      </c>
      <c r="L101" s="45"/>
      <c r="M101" s="45"/>
      <c r="N101" s="45" t="str">
        <f>IF(W2,"45","90")</f>
        <v>90</v>
      </c>
      <c r="O101" s="45">
        <f>N101*(1-'cdr et rcr'!$B$19/100)</f>
        <v>90</v>
      </c>
      <c r="P101" s="45">
        <v>20</v>
      </c>
    </row>
    <row r="102" spans="1:16">
      <c r="A102" s="26"/>
      <c r="B102" s="30"/>
      <c r="C102" s="12"/>
      <c r="D102" s="12"/>
      <c r="E102" s="12"/>
      <c r="F102" s="18"/>
      <c r="G102" s="46"/>
      <c r="H102" s="26"/>
      <c r="I102" s="45"/>
      <c r="J102" s="45"/>
      <c r="K102" s="45"/>
      <c r="L102" s="45"/>
      <c r="M102" s="45"/>
      <c r="N102" s="45"/>
      <c r="O102" s="45"/>
      <c r="P102" s="45"/>
    </row>
    <row r="103" spans="1:16">
      <c r="A103" s="54" t="s">
        <v>53</v>
      </c>
      <c r="B103" s="55" t="s">
        <v>341</v>
      </c>
      <c r="C103" s="11">
        <v>0</v>
      </c>
      <c r="D103" s="12"/>
      <c r="E103" s="12"/>
      <c r="F103" s="18"/>
      <c r="G103" s="46"/>
      <c r="H103" s="26"/>
      <c r="I103" s="45"/>
      <c r="J103" s="45"/>
      <c r="K103" s="45"/>
      <c r="L103" s="45"/>
      <c r="M103" s="45"/>
      <c r="N103" s="45"/>
      <c r="O103" s="45"/>
      <c r="P103" s="45"/>
    </row>
    <row r="104" spans="1:16">
      <c r="A104" s="48"/>
      <c r="B104" s="30"/>
      <c r="C104" s="12"/>
      <c r="D104" s="12"/>
      <c r="E104" s="12">
        <f>L104*(additiff+(bonusfureurdescieux/100))*multiplicatif*(1+sacré)*(1+zone)*IF(B14,1+F7/100,1)</f>
        <v>337.89600000000007</v>
      </c>
      <c r="F104" s="18">
        <f>(((B104+D104)/$A$13)+E104)/100*(P104/O104)</f>
        <v>1.0136880000000001</v>
      </c>
      <c r="G104" s="46">
        <f>$C$10*(((B104+D104)*$A$13)+E104)/100*(P104/O104)</f>
        <v>1321843.6561575122</v>
      </c>
      <c r="H104" s="26">
        <f t="shared" si="5"/>
        <v>0.32502500961908437</v>
      </c>
      <c r="I104" s="45"/>
      <c r="J104" s="45"/>
      <c r="K104" s="45"/>
      <c r="L104" s="45">
        <f>1710/6</f>
        <v>285</v>
      </c>
      <c r="M104" s="45"/>
      <c r="N104" s="45">
        <v>20</v>
      </c>
      <c r="O104" s="45">
        <f>N104*(1-'cdr et rcr'!$B$19/100)</f>
        <v>20</v>
      </c>
      <c r="P104" s="45">
        <v>6</v>
      </c>
    </row>
    <row r="105" spans="1:16">
      <c r="A105" s="48" t="s">
        <v>346</v>
      </c>
      <c r="B105" s="30"/>
      <c r="C105" s="12"/>
      <c r="D105" s="12"/>
      <c r="E105" s="12">
        <f>L105*(additiff+(bonusfureurdescieux/100))*multiplicatif*(1+sacré)*(1+zone)*IF(B14,1+F7/100,1)</f>
        <v>337.89600000000007</v>
      </c>
      <c r="F105" s="18">
        <f>(((B105+D105)/$A$13)+E105)/100*(P105/O105)</f>
        <v>1.0136880000000001</v>
      </c>
      <c r="G105" s="46">
        <f>$C$10*(((B105+D105)*$A$13)+E105)/100*(P105/O105)</f>
        <v>1321843.6561575122</v>
      </c>
      <c r="H105" s="26">
        <f t="shared" si="5"/>
        <v>0.32502500961908437</v>
      </c>
      <c r="I105" s="45"/>
      <c r="J105" s="45"/>
      <c r="K105" s="45"/>
      <c r="L105" s="45">
        <v>285</v>
      </c>
      <c r="M105" s="45">
        <f>1550/5</f>
        <v>310</v>
      </c>
      <c r="N105" s="45">
        <v>20</v>
      </c>
      <c r="O105" s="45">
        <f>N105*(1-'cdr et rcr'!$B$19/100)</f>
        <v>20</v>
      </c>
      <c r="P105" s="45">
        <v>6</v>
      </c>
    </row>
    <row r="106" spans="1:16">
      <c r="A106" s="48" t="s">
        <v>345</v>
      </c>
      <c r="B106" s="30"/>
      <c r="C106" s="12"/>
      <c r="D106" s="12"/>
      <c r="E106" s="12">
        <f>L106*(additiff+(bonusfureurdescieux/100))*multiplicatif*(1+sacré)*(1+zone)*IF(B14,1+F7/100,1)</f>
        <v>546.56160000000011</v>
      </c>
      <c r="F106" s="18">
        <f>(((B106+D106)/$A$13)+E106)/100*(P106/O106)</f>
        <v>1.6396848000000002</v>
      </c>
      <c r="G106" s="46">
        <f>$C$10*(((B106+D106)*$A$13)+E106)/100*(P106/O106)</f>
        <v>2138140.0894337306</v>
      </c>
      <c r="H106" s="26">
        <f t="shared" si="5"/>
        <v>0.52574220854174702</v>
      </c>
      <c r="I106" s="45"/>
      <c r="J106" s="45"/>
      <c r="K106" s="45"/>
      <c r="L106" s="45">
        <f>2766/6</f>
        <v>461</v>
      </c>
      <c r="M106" s="45"/>
      <c r="N106" s="45">
        <v>20</v>
      </c>
      <c r="O106" s="45">
        <f>N106*(1-'cdr et rcr'!$B$19/100)</f>
        <v>20</v>
      </c>
      <c r="P106" s="45">
        <v>6</v>
      </c>
    </row>
    <row r="107" spans="1:16">
      <c r="A107" s="48" t="s">
        <v>344</v>
      </c>
      <c r="B107" s="30"/>
      <c r="C107" s="12"/>
      <c r="D107" s="12"/>
      <c r="E107" s="12">
        <f>L107*(additiff+(bonusfureurdescieux/100))*multiplicatif*(1+sacré)*(1+zone)*IF(B14,1+F7/100,1)</f>
        <v>391.24800000000005</v>
      </c>
      <c r="F107" s="18">
        <f>(((B107+D107)/$A$13)+E107)/100*(P107/O107)</f>
        <v>1.1737440000000001</v>
      </c>
      <c r="G107" s="46">
        <f>$C$10*(((B107+D107)*$A$13)+E107)/100*(P107/O107)</f>
        <v>1530555.8123929091</v>
      </c>
      <c r="H107" s="26">
        <f t="shared" si="5"/>
        <v>0.37634474797999246</v>
      </c>
      <c r="I107" s="45"/>
      <c r="J107" s="45"/>
      <c r="K107" s="45"/>
      <c r="L107" s="45">
        <f>1980/6</f>
        <v>330</v>
      </c>
      <c r="M107" s="45"/>
      <c r="N107" s="45">
        <v>20</v>
      </c>
      <c r="O107" s="45">
        <f>N107*(1-'cdr et rcr'!$B$19/100)</f>
        <v>20</v>
      </c>
      <c r="P107" s="45">
        <v>6</v>
      </c>
    </row>
    <row r="108" spans="1:16">
      <c r="A108" s="49" t="s">
        <v>343</v>
      </c>
      <c r="B108" s="30"/>
      <c r="C108" s="12"/>
      <c r="D108" s="12"/>
      <c r="E108" s="12">
        <f>L108*(additiff+(bonusfureurdescieux/100))*multiplicatif*(1+foudre)*(1+zone)*IF(B14,1+F7/100,1)</f>
        <v>446.02272000000011</v>
      </c>
      <c r="F108" s="18">
        <f>(((B108+D108)/$A$13)+E108)/100*(P108/O108)</f>
        <v>1.3380681600000004</v>
      </c>
      <c r="G108" s="46">
        <f>$C$10*(((B108+D108)*$A$13)+E108)/100*(P108/O108)</f>
        <v>1744833.6261279166</v>
      </c>
      <c r="H108" s="26">
        <f t="shared" si="5"/>
        <v>0.42903301269719146</v>
      </c>
      <c r="I108" s="45"/>
      <c r="J108" s="45"/>
      <c r="K108" s="45"/>
      <c r="L108" s="45">
        <f>1710/6</f>
        <v>285</v>
      </c>
      <c r="M108" s="45"/>
      <c r="N108" s="45">
        <v>20</v>
      </c>
      <c r="O108" s="45">
        <f>N108*(1-'cdr et rcr'!$B$19/100)</f>
        <v>20</v>
      </c>
      <c r="P108" s="45">
        <v>6</v>
      </c>
    </row>
    <row r="109" spans="1:16">
      <c r="A109" s="48" t="s">
        <v>342</v>
      </c>
      <c r="B109" s="30">
        <f>I109*(additiff+(bonusfureurdescieux/100))*multiplicatif*(1+sacré)*(1+zone)*IF(B14,1+F7/100,1)</f>
        <v>1138.1760000000002</v>
      </c>
      <c r="C109" s="12"/>
      <c r="D109" s="12"/>
      <c r="E109" s="12"/>
      <c r="F109" s="18">
        <f>(((B109+D109)/$A$13)+E109)/100</f>
        <v>3.6042240000000003</v>
      </c>
      <c r="G109" s="46">
        <f t="shared" ref="G109" si="8">$C$10*(((B109+D109)*$A$13)+E109)/100</f>
        <v>46868694.733562768</v>
      </c>
      <c r="H109" s="26">
        <f t="shared" si="5"/>
        <v>11.524432474028478</v>
      </c>
      <c r="I109" s="45">
        <v>960</v>
      </c>
      <c r="J109" s="45"/>
      <c r="K109" s="45"/>
      <c r="L109" s="45"/>
      <c r="M109" s="45"/>
      <c r="N109" s="45"/>
      <c r="O109" s="45"/>
      <c r="P109" s="45"/>
    </row>
    <row r="110" spans="1:16">
      <c r="A110" s="26"/>
      <c r="B110" s="30"/>
      <c r="C110" s="12"/>
      <c r="D110" s="12"/>
      <c r="E110" s="12"/>
      <c r="F110" s="18"/>
      <c r="G110" s="46"/>
      <c r="H110" s="26"/>
      <c r="I110" s="45"/>
      <c r="J110" s="45"/>
      <c r="K110" s="45"/>
      <c r="L110" s="45"/>
      <c r="M110" s="45"/>
      <c r="N110" s="45"/>
      <c r="O110" s="45"/>
      <c r="P110" s="45"/>
    </row>
    <row r="111" spans="1:16">
      <c r="A111" s="54" t="s">
        <v>38</v>
      </c>
      <c r="B111" s="55" t="s">
        <v>341</v>
      </c>
      <c r="C111" s="11">
        <v>0</v>
      </c>
      <c r="D111" s="12"/>
      <c r="E111" s="12"/>
      <c r="F111" s="18"/>
      <c r="G111" s="46"/>
      <c r="H111" s="26"/>
      <c r="I111" s="45"/>
      <c r="J111" s="45"/>
      <c r="K111" s="45"/>
      <c r="L111" s="45"/>
      <c r="M111" s="45"/>
      <c r="N111" s="45"/>
      <c r="O111" s="45"/>
      <c r="P111" s="45"/>
    </row>
    <row r="112" spans="1:16">
      <c r="A112" s="50"/>
      <c r="B112" s="30">
        <f>I112*(additiff+(bonusgrele/100))*multiplicatif*(1+physique)*(1+zone)*IF(B14,1+F7/100,1)</f>
        <v>3378.9600000000005</v>
      </c>
      <c r="C112" s="12"/>
      <c r="D112" s="12"/>
      <c r="E112" s="12"/>
      <c r="F112" s="18">
        <f t="shared" ref="F112:F117" si="9">(((B112+D112)/$A$13)+E112)/100/O112</f>
        <v>0.17833400000000002</v>
      </c>
      <c r="G112" s="46">
        <f t="shared" ref="G112:G117" si="10">$C$10*(((B112+D112)*$A$13)+E112)/100/O112</f>
        <v>2319023.9581710743</v>
      </c>
      <c r="H112" s="26">
        <f t="shared" si="5"/>
        <v>0.57021931512120061</v>
      </c>
      <c r="I112" s="45">
        <v>2850</v>
      </c>
      <c r="J112" s="45"/>
      <c r="K112" s="45"/>
      <c r="L112" s="45"/>
      <c r="M112" s="45"/>
      <c r="N112" s="45">
        <v>60</v>
      </c>
      <c r="O112" s="45">
        <f>N112*(1-'cdr et rcr'!$B$19/100)</f>
        <v>60</v>
      </c>
      <c r="P112" s="45"/>
    </row>
    <row r="113" spans="1:16">
      <c r="A113" s="50" t="s">
        <v>340</v>
      </c>
      <c r="B113" s="30">
        <f>I113*(additiff+(bonusgrele/100))*multiplicatif*(1+physique)*(1+zone)*IF(B14,1+F7/100,1)</f>
        <v>3378.9600000000005</v>
      </c>
      <c r="C113" s="12"/>
      <c r="D113" s="12"/>
      <c r="E113" s="12"/>
      <c r="F113" s="18">
        <f t="shared" si="9"/>
        <v>0.17833400000000002</v>
      </c>
      <c r="G113" s="46">
        <f t="shared" si="10"/>
        <v>2319023.9581710743</v>
      </c>
      <c r="H113" s="26">
        <f t="shared" si="5"/>
        <v>0.57021931512120061</v>
      </c>
      <c r="I113" s="45">
        <v>2850</v>
      </c>
      <c r="J113" s="45"/>
      <c r="K113" s="45"/>
      <c r="L113" s="45"/>
      <c r="M113" s="45"/>
      <c r="N113" s="45">
        <v>60</v>
      </c>
      <c r="O113" s="45">
        <f>N113*(1-'cdr et rcr'!$B$19/100)</f>
        <v>60</v>
      </c>
      <c r="P113" s="45"/>
    </row>
    <row r="114" spans="1:16">
      <c r="A114" s="51" t="s">
        <v>339</v>
      </c>
      <c r="B114" s="30">
        <f>I114*(additiff+(bonusgrele/100))*multiplicatif*(1+feu)*(1+zone)*IF(B14,1+F7/100,1)</f>
        <v>3378.9600000000005</v>
      </c>
      <c r="C114" s="12"/>
      <c r="D114" s="12"/>
      <c r="E114" s="12"/>
      <c r="F114" s="18">
        <f t="shared" si="9"/>
        <v>0.17833400000000002</v>
      </c>
      <c r="G114" s="46">
        <f t="shared" si="10"/>
        <v>2319023.9581710743</v>
      </c>
      <c r="H114" s="26">
        <f t="shared" si="5"/>
        <v>0.57021931512120061</v>
      </c>
      <c r="I114" s="45">
        <v>2850</v>
      </c>
      <c r="J114" s="45"/>
      <c r="K114" s="45"/>
      <c r="L114" s="45"/>
      <c r="M114" s="45"/>
      <c r="N114" s="45">
        <v>60</v>
      </c>
      <c r="O114" s="45">
        <f>N114*(1-'cdr et rcr'!$B$19/100)</f>
        <v>60</v>
      </c>
      <c r="P114" s="45"/>
    </row>
    <row r="115" spans="1:16">
      <c r="A115" s="51" t="s">
        <v>338</v>
      </c>
      <c r="B115" s="30">
        <f>I115*(additiff+(bonusgrele/100))*multiplicatif*(1+feu)*(1+zone)*IF(B14,1+F7/100,1)</f>
        <v>3378.9600000000005</v>
      </c>
      <c r="C115" s="12">
        <f>J115*(additiff+(bonusgrele/100))*multiplicatif*(1+feu)*(1+zone)*IF(B14,1+F7/100,1)</f>
        <v>189.69600000000003</v>
      </c>
      <c r="D115" s="12"/>
      <c r="E115" s="12"/>
      <c r="F115" s="18">
        <f t="shared" si="9"/>
        <v>0.17833400000000002</v>
      </c>
      <c r="G115" s="46">
        <f t="shared" si="10"/>
        <v>2319023.9581710743</v>
      </c>
      <c r="H115" s="26">
        <f t="shared" si="5"/>
        <v>0.57021931512120061</v>
      </c>
      <c r="I115" s="45">
        <v>2850</v>
      </c>
      <c r="J115" s="45">
        <v>160</v>
      </c>
      <c r="K115" s="45"/>
      <c r="L115" s="45"/>
      <c r="M115" s="45"/>
      <c r="N115" s="45">
        <v>60</v>
      </c>
      <c r="O115" s="45">
        <f>N115*(1-'cdr et rcr'!$B$19/100)</f>
        <v>60</v>
      </c>
      <c r="P115" s="45"/>
    </row>
    <row r="116" spans="1:16">
      <c r="A116" s="50" t="s">
        <v>337</v>
      </c>
      <c r="B116" s="30">
        <f>I116*(additiff+(bonusgrele/100))*multiplicatif*(1+physique)*(1+zone)*IF(B14,1+F7/100,1)</f>
        <v>3936.1920000000005</v>
      </c>
      <c r="C116" s="12"/>
      <c r="D116" s="12"/>
      <c r="E116" s="12"/>
      <c r="F116" s="18">
        <f t="shared" si="9"/>
        <v>0.20774346666666668</v>
      </c>
      <c r="G116" s="46">
        <f t="shared" si="10"/>
        <v>2701459.4881150764</v>
      </c>
      <c r="H116" s="26">
        <f t="shared" si="5"/>
        <v>0.66425548287803038</v>
      </c>
      <c r="I116" s="45">
        <v>3320</v>
      </c>
      <c r="J116" s="45"/>
      <c r="K116" s="45"/>
      <c r="L116" s="45"/>
      <c r="M116" s="45"/>
      <c r="N116" s="45">
        <v>60</v>
      </c>
      <c r="O116" s="45">
        <f>N116*(1-'cdr et rcr'!$B$19/100)</f>
        <v>60</v>
      </c>
      <c r="P116" s="45"/>
    </row>
    <row r="117" spans="1:16">
      <c r="A117" s="48" t="s">
        <v>336</v>
      </c>
      <c r="B117" s="30">
        <f>I117*(additiff+(bonusgrele/100))*multiplicatif*(1+sacré)*(1+zone)*IF(B14,1+F7/100,1)</f>
        <v>3378.9600000000005</v>
      </c>
      <c r="C117" s="12"/>
      <c r="D117" s="12"/>
      <c r="E117" s="12"/>
      <c r="F117" s="18">
        <f t="shared" si="9"/>
        <v>0.17833400000000002</v>
      </c>
      <c r="G117" s="46">
        <f t="shared" si="10"/>
        <v>2319023.9581710743</v>
      </c>
      <c r="H117" s="26">
        <f t="shared" si="5"/>
        <v>0.57021931512120061</v>
      </c>
      <c r="I117" s="45">
        <v>2850</v>
      </c>
      <c r="J117" s="45"/>
      <c r="K117" s="45"/>
      <c r="L117" s="45"/>
      <c r="M117" s="45"/>
      <c r="N117" s="45">
        <v>60</v>
      </c>
      <c r="O117" s="45">
        <f>N117*(1-'cdr et rcr'!$B$19/100)</f>
        <v>60</v>
      </c>
      <c r="P117" s="45"/>
    </row>
    <row r="118" spans="1:16">
      <c r="H118" s="26"/>
      <c r="I118" s="45"/>
      <c r="J118" s="45"/>
      <c r="K118" s="45"/>
      <c r="L118" s="45"/>
      <c r="M118" s="45"/>
      <c r="N118" s="45"/>
      <c r="O118" s="45"/>
      <c r="P118" s="45"/>
    </row>
    <row r="119" spans="1:16">
      <c r="H119" s="26"/>
      <c r="I119" s="45"/>
      <c r="J119" s="45"/>
      <c r="K119" s="45"/>
      <c r="L119" s="45"/>
      <c r="M119" s="45"/>
      <c r="N119" s="45"/>
      <c r="O119" s="45"/>
      <c r="P119" s="45"/>
    </row>
    <row r="120" spans="1:16">
      <c r="A120" s="168" t="s">
        <v>475</v>
      </c>
      <c r="B120" s="168"/>
      <c r="C120" s="168"/>
      <c r="D120" s="8"/>
      <c r="E120" s="8"/>
      <c r="F120" s="8"/>
      <c r="G120" s="8"/>
      <c r="H120" s="26"/>
      <c r="I120" s="45"/>
      <c r="J120" s="45"/>
      <c r="K120" s="45"/>
      <c r="L120" s="45"/>
      <c r="M120" s="45"/>
      <c r="N120" s="45"/>
      <c r="O120" s="45"/>
      <c r="P120" s="45"/>
    </row>
    <row r="121" spans="1:16">
      <c r="A121" s="26"/>
      <c r="B121" s="169" t="s">
        <v>477</v>
      </c>
      <c r="C121" s="170"/>
      <c r="D121" s="57">
        <v>0</v>
      </c>
      <c r="E121" s="6">
        <f>15+0.3*D121</f>
        <v>15</v>
      </c>
      <c r="F121" s="45" t="b">
        <v>0</v>
      </c>
      <c r="H121" s="26"/>
      <c r="I121" s="45"/>
      <c r="J121" s="45"/>
      <c r="K121" s="45"/>
      <c r="L121" s="45"/>
      <c r="M121" s="45"/>
      <c r="N121" s="45"/>
      <c r="O121" s="45"/>
      <c r="P121" s="45"/>
    </row>
    <row r="122" spans="1:16">
      <c r="A122" s="26"/>
      <c r="B122" s="166" t="s">
        <v>501</v>
      </c>
      <c r="C122" s="188"/>
      <c r="D122" s="57">
        <v>0</v>
      </c>
      <c r="F122" s="45" t="b">
        <v>0</v>
      </c>
      <c r="H122" s="26"/>
      <c r="I122" s="45"/>
      <c r="J122" s="45"/>
      <c r="K122" s="45"/>
      <c r="L122" s="45"/>
      <c r="M122" s="45"/>
      <c r="N122" s="45"/>
      <c r="O122" s="45"/>
      <c r="P122" s="45"/>
    </row>
    <row r="123" spans="1:16">
      <c r="H123" s="26"/>
      <c r="I123" s="45"/>
      <c r="J123" s="45"/>
      <c r="K123" s="45"/>
      <c r="L123" s="45"/>
      <c r="M123" s="45"/>
      <c r="N123" s="45"/>
      <c r="O123" s="45"/>
      <c r="P123" s="45"/>
    </row>
    <row r="124" spans="1:16">
      <c r="A124" s="25" t="s">
        <v>125</v>
      </c>
      <c r="B124" s="8" t="s">
        <v>341</v>
      </c>
      <c r="C124" s="11">
        <v>0</v>
      </c>
      <c r="H124" s="26"/>
      <c r="I124" s="45"/>
      <c r="J124" s="45"/>
      <c r="K124" s="45"/>
      <c r="L124" s="45"/>
      <c r="M124" s="45"/>
      <c r="N124" s="45"/>
      <c r="O124" s="45"/>
      <c r="P124" s="45"/>
    </row>
    <row r="125" spans="1:16">
      <c r="A125" s="26"/>
      <c r="D125" s="189" t="s">
        <v>476</v>
      </c>
      <c r="E125" s="189"/>
      <c r="F125" s="57">
        <v>1</v>
      </c>
      <c r="H125" s="26"/>
      <c r="I125" s="45"/>
      <c r="J125" s="45"/>
      <c r="K125" s="45"/>
      <c r="L125" s="45"/>
      <c r="M125" s="45"/>
      <c r="N125" s="45"/>
      <c r="O125" s="45"/>
      <c r="P125" s="45"/>
    </row>
    <row r="126" spans="1:16">
      <c r="A126" s="50" t="s">
        <v>356</v>
      </c>
      <c r="B126" s="12">
        <f>I126*(additiff+(C124/100))*multiplicatif*(1+physique+IF(F121,E121/100,"0"))*(1+zone)*F125*IF(B14,1+F7/100,1)</f>
        <v>219.33600000000004</v>
      </c>
      <c r="C126" s="12"/>
      <c r="D126" s="12"/>
      <c r="E126" s="12"/>
      <c r="F126" s="18">
        <f>B126/100</f>
        <v>2.1933600000000002</v>
      </c>
      <c r="G126" s="46">
        <f>B126*(C3*C11*(1+N10/100)*critique*IF(F122,1+(D122/100),"1")*(1+(Statistiques!B6/100)))/100</f>
        <v>8920172.0355842002</v>
      </c>
      <c r="H126" s="26">
        <f t="shared" si="5"/>
        <v>2.1933600000000006</v>
      </c>
      <c r="I126" s="45">
        <v>185</v>
      </c>
      <c r="J126" s="45"/>
      <c r="K126" s="45"/>
      <c r="L126" s="45"/>
      <c r="M126" s="45"/>
      <c r="N126" s="45"/>
      <c r="O126" s="45"/>
      <c r="P126" s="45"/>
    </row>
    <row r="127" spans="1:16">
      <c r="A127" s="50" t="s">
        <v>352</v>
      </c>
      <c r="B127" s="12">
        <f>I127*(additiff+(C124/100))*multiplicatif*(1+physique+IF(F121,E121/100,"0"))*(1+zone)*F125*IF(B14,1+F7/100,1)</f>
        <v>663.93600000000004</v>
      </c>
      <c r="C127" s="12"/>
      <c r="D127" s="12"/>
      <c r="E127" s="12"/>
      <c r="F127" s="18">
        <f>B127/100</f>
        <v>6.6393599999999999</v>
      </c>
      <c r="G127" s="46">
        <f>B127*(C3*C11*(1+N10/100)*critique*IF(F122,1+(D122/100),"1")*(1+(Statistiques!B6/100)))/100</f>
        <v>27001601.837444056</v>
      </c>
      <c r="H127" s="26">
        <f t="shared" si="5"/>
        <v>6.6393599999999999</v>
      </c>
      <c r="I127" s="45">
        <v>560</v>
      </c>
      <c r="J127" s="45"/>
      <c r="K127" s="45"/>
      <c r="L127" s="45"/>
      <c r="M127" s="45"/>
      <c r="N127" s="45"/>
      <c r="O127" s="45"/>
      <c r="P127" s="45"/>
    </row>
  </sheetData>
  <mergeCells count="77">
    <mergeCell ref="D125:E125"/>
    <mergeCell ref="B122:C122"/>
    <mergeCell ref="P12:Q12"/>
    <mergeCell ref="T1:U1"/>
    <mergeCell ref="T3:U3"/>
    <mergeCell ref="T4:U4"/>
    <mergeCell ref="T5:U5"/>
    <mergeCell ref="T6:U6"/>
    <mergeCell ref="T7:U7"/>
    <mergeCell ref="T8:U8"/>
    <mergeCell ref="T9:U9"/>
    <mergeCell ref="T10:U10"/>
    <mergeCell ref="P6:Q6"/>
    <mergeCell ref="P7:Q7"/>
    <mergeCell ref="P8:Q8"/>
    <mergeCell ref="P9:Q9"/>
    <mergeCell ref="T11:U11"/>
    <mergeCell ref="T2:U2"/>
    <mergeCell ref="P11:Q11"/>
    <mergeCell ref="P1:Q1"/>
    <mergeCell ref="P2:Q2"/>
    <mergeCell ref="P3:Q3"/>
    <mergeCell ref="P4:Q4"/>
    <mergeCell ref="P5:Q5"/>
    <mergeCell ref="P10:Q10"/>
    <mergeCell ref="K6:M6"/>
    <mergeCell ref="K7:M7"/>
    <mergeCell ref="K8:M8"/>
    <mergeCell ref="K9:M9"/>
    <mergeCell ref="K10:M10"/>
    <mergeCell ref="K1:M1"/>
    <mergeCell ref="K2:M2"/>
    <mergeCell ref="K3:M3"/>
    <mergeCell ref="K4:M4"/>
    <mergeCell ref="K5:M5"/>
    <mergeCell ref="C4:D4"/>
    <mergeCell ref="C5:D5"/>
    <mergeCell ref="C6:D6"/>
    <mergeCell ref="C7:D7"/>
    <mergeCell ref="C8:D8"/>
    <mergeCell ref="A7:B7"/>
    <mergeCell ref="A8:B8"/>
    <mergeCell ref="A9:B9"/>
    <mergeCell ref="G5:H5"/>
    <mergeCell ref="G6:H6"/>
    <mergeCell ref="G7:H7"/>
    <mergeCell ref="G8:H8"/>
    <mergeCell ref="G9:H9"/>
    <mergeCell ref="E9:F9"/>
    <mergeCell ref="G10:H10"/>
    <mergeCell ref="G11:H11"/>
    <mergeCell ref="G16:H16"/>
    <mergeCell ref="B16:F16"/>
    <mergeCell ref="I2:J2"/>
    <mergeCell ref="I3:J3"/>
    <mergeCell ref="A2:B2"/>
    <mergeCell ref="A3:B3"/>
    <mergeCell ref="A4:B4"/>
    <mergeCell ref="C2:D2"/>
    <mergeCell ref="C3:D3"/>
    <mergeCell ref="G2:H2"/>
    <mergeCell ref="G3:H3"/>
    <mergeCell ref="G4:H4"/>
    <mergeCell ref="A5:B5"/>
    <mergeCell ref="A6:B6"/>
    <mergeCell ref="A10:B10"/>
    <mergeCell ref="A11:B11"/>
    <mergeCell ref="C9:D9"/>
    <mergeCell ref="C10:D10"/>
    <mergeCell ref="C11:D11"/>
    <mergeCell ref="P13:Q13"/>
    <mergeCell ref="P14:Q14"/>
    <mergeCell ref="T12:U12"/>
    <mergeCell ref="A120:C120"/>
    <mergeCell ref="B121:C121"/>
    <mergeCell ref="I16:L16"/>
    <mergeCell ref="G12:H12"/>
  </mergeCells>
  <dataValidations count="1">
    <dataValidation type="list" allowBlank="1" showInputMessage="1" showErrorMessage="1" sqref="V12">
      <formula1>$X$12:$X$13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69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/>
  <cols>
    <col min="1" max="1" width="34.42578125" style="3" bestFit="1" customWidth="1"/>
    <col min="2" max="2" width="4.5703125" style="3" bestFit="1" customWidth="1"/>
    <col min="3" max="3" width="3" style="3" bestFit="1" customWidth="1"/>
    <col min="4" max="4" width="8.42578125" style="3" bestFit="1" customWidth="1"/>
    <col min="5" max="5" width="15.28515625" style="3" bestFit="1" customWidth="1"/>
    <col min="6" max="6" width="8.85546875" style="3" bestFit="1" customWidth="1"/>
    <col min="7" max="7" width="7.42578125" style="3" bestFit="1" customWidth="1"/>
    <col min="8" max="8" width="8.42578125" style="3" bestFit="1" customWidth="1"/>
    <col min="9" max="9" width="14.28515625" style="3" bestFit="1" customWidth="1"/>
    <col min="10" max="10" width="5.5703125" style="3" bestFit="1" customWidth="1"/>
    <col min="11" max="11" width="7.42578125" style="3" bestFit="1" customWidth="1"/>
    <col min="12" max="12" width="13" style="3" bestFit="1" customWidth="1"/>
    <col min="13" max="13" width="5.5703125" style="3" bestFit="1" customWidth="1"/>
    <col min="14" max="14" width="7.42578125" style="3" customWidth="1"/>
    <col min="15" max="15" width="8.42578125" style="3" bestFit="1" customWidth="1"/>
    <col min="16" max="16" width="84.85546875" style="3" bestFit="1" customWidth="1"/>
    <col min="17" max="16384" width="11.42578125" style="3"/>
  </cols>
  <sheetData>
    <row r="1" spans="1:16">
      <c r="A1" s="3" t="s">
        <v>335</v>
      </c>
      <c r="B1" s="3" t="s">
        <v>334</v>
      </c>
      <c r="C1" s="3" t="s">
        <v>333</v>
      </c>
      <c r="D1" s="3" t="s">
        <v>332</v>
      </c>
      <c r="E1" s="3" t="s">
        <v>331</v>
      </c>
      <c r="F1" s="3" t="s">
        <v>330</v>
      </c>
      <c r="G1" s="3" t="s">
        <v>329</v>
      </c>
      <c r="H1" s="3" t="s">
        <v>328</v>
      </c>
      <c r="I1" s="3" t="s">
        <v>327</v>
      </c>
      <c r="J1" s="3" t="s">
        <v>326</v>
      </c>
      <c r="K1" s="3" t="s">
        <v>325</v>
      </c>
      <c r="L1" s="3" t="s">
        <v>324</v>
      </c>
      <c r="M1" s="3" t="s">
        <v>323</v>
      </c>
      <c r="N1" s="3" t="s">
        <v>322</v>
      </c>
      <c r="O1" s="3" t="s">
        <v>321</v>
      </c>
      <c r="P1" s="3" t="s">
        <v>320</v>
      </c>
    </row>
    <row r="3" spans="1:16">
      <c r="A3" s="5" t="s">
        <v>319</v>
      </c>
      <c r="B3" s="4"/>
      <c r="D3" s="3">
        <v>100</v>
      </c>
      <c r="E3" s="3">
        <v>335</v>
      </c>
      <c r="O3" s="3" t="s">
        <v>28</v>
      </c>
    </row>
    <row r="4" spans="1:16">
      <c r="A4" s="5" t="s">
        <v>318</v>
      </c>
      <c r="B4" s="4"/>
      <c r="D4" s="3">
        <v>33.299999999999997</v>
      </c>
      <c r="E4" s="3">
        <v>335</v>
      </c>
      <c r="I4" s="3">
        <v>75</v>
      </c>
      <c r="J4" s="3" t="s">
        <v>317</v>
      </c>
      <c r="O4" s="3" t="s">
        <v>31</v>
      </c>
    </row>
    <row r="5" spans="1:16">
      <c r="A5" s="5" t="s">
        <v>316</v>
      </c>
      <c r="B5" s="4"/>
      <c r="D5" s="3">
        <v>33.299999999999997</v>
      </c>
      <c r="E5" s="3">
        <v>335</v>
      </c>
      <c r="O5" s="3" t="s">
        <v>28</v>
      </c>
      <c r="P5" s="3" t="s">
        <v>315</v>
      </c>
    </row>
    <row r="6" spans="1:16">
      <c r="A6" s="5" t="s">
        <v>314</v>
      </c>
      <c r="B6" s="4"/>
      <c r="D6" s="3">
        <v>33.299999999999997</v>
      </c>
      <c r="E6" s="3">
        <v>335</v>
      </c>
      <c r="O6" s="3" t="s">
        <v>28</v>
      </c>
      <c r="P6" s="3" t="s">
        <v>313</v>
      </c>
    </row>
    <row r="7" spans="1:16">
      <c r="A7" s="5" t="s">
        <v>312</v>
      </c>
      <c r="B7" s="4"/>
      <c r="D7" s="3">
        <v>100</v>
      </c>
      <c r="E7" s="3">
        <v>335</v>
      </c>
      <c r="I7" s="3">
        <v>140</v>
      </c>
      <c r="O7" s="3" t="s">
        <v>25</v>
      </c>
      <c r="P7" s="3" t="s">
        <v>311</v>
      </c>
    </row>
    <row r="8" spans="1:16">
      <c r="A8" s="5" t="s">
        <v>310</v>
      </c>
      <c r="B8" s="4"/>
      <c r="D8" s="3">
        <v>33.299999999999997</v>
      </c>
      <c r="E8" s="3">
        <v>335</v>
      </c>
      <c r="O8" s="3" t="s">
        <v>42</v>
      </c>
      <c r="P8" s="3" t="s">
        <v>309</v>
      </c>
    </row>
    <row r="9" spans="1:16">
      <c r="A9" s="4"/>
      <c r="B9" s="4"/>
    </row>
    <row r="10" spans="1:16">
      <c r="A10" s="5" t="s">
        <v>308</v>
      </c>
      <c r="B10" s="4"/>
      <c r="D10" s="3">
        <v>80</v>
      </c>
      <c r="E10" s="3">
        <v>230</v>
      </c>
      <c r="O10" s="3" t="s">
        <v>31</v>
      </c>
    </row>
    <row r="11" spans="1:16">
      <c r="A11" s="5" t="s">
        <v>307</v>
      </c>
      <c r="B11" s="4"/>
      <c r="D11" s="3">
        <v>80</v>
      </c>
      <c r="E11" s="3">
        <v>230</v>
      </c>
      <c r="O11" s="3" t="s">
        <v>42</v>
      </c>
      <c r="P11" s="3" t="s">
        <v>306</v>
      </c>
    </row>
    <row r="12" spans="1:16">
      <c r="A12" s="5" t="s">
        <v>305</v>
      </c>
      <c r="B12" s="4"/>
      <c r="D12" s="3">
        <v>54</v>
      </c>
      <c r="E12" s="3">
        <v>230</v>
      </c>
      <c r="O12" s="3" t="s">
        <v>31</v>
      </c>
      <c r="P12" s="3" t="s">
        <v>304</v>
      </c>
    </row>
    <row r="13" spans="1:16">
      <c r="A13" s="5" t="s">
        <v>303</v>
      </c>
      <c r="B13" s="4"/>
      <c r="D13" s="3">
        <v>80</v>
      </c>
      <c r="E13" s="3">
        <v>230</v>
      </c>
      <c r="O13" s="3" t="s">
        <v>31</v>
      </c>
      <c r="P13" s="3" t="s">
        <v>302</v>
      </c>
    </row>
    <row r="14" spans="1:16">
      <c r="A14" s="5" t="s">
        <v>301</v>
      </c>
      <c r="B14" s="4"/>
      <c r="D14" s="3">
        <v>61</v>
      </c>
      <c r="E14" s="3">
        <v>230</v>
      </c>
      <c r="O14" s="3" t="s">
        <v>25</v>
      </c>
      <c r="P14" s="3" t="s">
        <v>300</v>
      </c>
    </row>
    <row r="15" spans="1:16">
      <c r="A15" s="5" t="s">
        <v>299</v>
      </c>
      <c r="B15" s="4"/>
      <c r="D15" s="3">
        <v>80</v>
      </c>
      <c r="E15" s="3">
        <v>230</v>
      </c>
      <c r="O15" s="3" t="s">
        <v>31</v>
      </c>
      <c r="P15" s="3" t="s">
        <v>298</v>
      </c>
    </row>
    <row r="16" spans="1:16">
      <c r="A16" s="4"/>
      <c r="B16" s="4"/>
    </row>
    <row r="17" spans="1:16">
      <c r="A17" s="5" t="s">
        <v>297</v>
      </c>
      <c r="B17" s="4"/>
      <c r="D17" s="3">
        <v>33.299999999999997</v>
      </c>
      <c r="E17" s="3">
        <v>175</v>
      </c>
      <c r="F17" s="3">
        <v>30</v>
      </c>
      <c r="I17" s="3">
        <v>150</v>
      </c>
      <c r="J17" s="3">
        <v>20</v>
      </c>
      <c r="K17" s="3">
        <v>3</v>
      </c>
      <c r="O17" s="3" t="s">
        <v>25</v>
      </c>
    </row>
    <row r="18" spans="1:16">
      <c r="A18" s="5" t="s">
        <v>296</v>
      </c>
      <c r="B18" s="4"/>
      <c r="D18" s="3">
        <v>33.299999999999997</v>
      </c>
      <c r="E18" s="3">
        <v>175</v>
      </c>
      <c r="F18" s="3">
        <v>30</v>
      </c>
      <c r="I18" s="3">
        <v>150</v>
      </c>
      <c r="J18" s="3">
        <v>20</v>
      </c>
      <c r="K18" s="3">
        <v>3</v>
      </c>
      <c r="L18" s="3">
        <v>60</v>
      </c>
      <c r="M18" s="3">
        <v>3</v>
      </c>
      <c r="O18" s="3" t="s">
        <v>25</v>
      </c>
    </row>
    <row r="19" spans="1:16">
      <c r="A19" s="5" t="s">
        <v>295</v>
      </c>
      <c r="B19" s="4"/>
      <c r="D19" s="3">
        <v>33.299999999999997</v>
      </c>
      <c r="E19" s="3">
        <v>175</v>
      </c>
      <c r="F19" s="3">
        <v>30</v>
      </c>
      <c r="I19" s="3">
        <v>150</v>
      </c>
      <c r="J19" s="3">
        <v>20</v>
      </c>
      <c r="K19" s="3">
        <v>3</v>
      </c>
      <c r="O19" s="3" t="s">
        <v>25</v>
      </c>
      <c r="P19" s="3" t="s">
        <v>294</v>
      </c>
    </row>
    <row r="20" spans="1:16">
      <c r="A20" s="5" t="s">
        <v>293</v>
      </c>
      <c r="B20" s="4"/>
      <c r="D20" s="3">
        <v>33.299999999999997</v>
      </c>
      <c r="E20" s="3">
        <v>175</v>
      </c>
      <c r="F20" s="3">
        <v>30</v>
      </c>
      <c r="I20" s="3">
        <v>150</v>
      </c>
      <c r="J20" s="3">
        <v>20</v>
      </c>
      <c r="K20" s="3">
        <v>5</v>
      </c>
      <c r="O20" s="3" t="s">
        <v>25</v>
      </c>
    </row>
    <row r="21" spans="1:16">
      <c r="A21" s="5" t="s">
        <v>292</v>
      </c>
      <c r="B21" s="4"/>
      <c r="D21" s="3">
        <v>13.3</v>
      </c>
      <c r="E21" s="3">
        <v>175</v>
      </c>
      <c r="F21" s="3">
        <v>30</v>
      </c>
      <c r="I21" s="3">
        <v>150</v>
      </c>
      <c r="J21" s="3">
        <v>20</v>
      </c>
      <c r="K21" s="3">
        <v>3</v>
      </c>
      <c r="O21" s="3" t="s">
        <v>25</v>
      </c>
      <c r="P21" s="3" t="s">
        <v>291</v>
      </c>
    </row>
    <row r="22" spans="1:16">
      <c r="A22" s="5" t="s">
        <v>290</v>
      </c>
      <c r="B22" s="4"/>
      <c r="D22" s="3">
        <v>33.299999999999997</v>
      </c>
      <c r="E22" s="3">
        <v>175</v>
      </c>
      <c r="F22" s="3">
        <v>30</v>
      </c>
      <c r="I22" s="3">
        <v>150</v>
      </c>
      <c r="J22" s="3">
        <v>20</v>
      </c>
      <c r="K22" s="3">
        <v>3</v>
      </c>
      <c r="O22" s="3" t="s">
        <v>42</v>
      </c>
      <c r="P22" s="3" t="s">
        <v>289</v>
      </c>
    </row>
    <row r="23" spans="1:16">
      <c r="A23" s="4"/>
      <c r="B23" s="4"/>
    </row>
    <row r="24" spans="1:16">
      <c r="A24" s="5" t="s">
        <v>288</v>
      </c>
      <c r="B24" s="4"/>
      <c r="D24" s="3">
        <v>100</v>
      </c>
      <c r="E24" s="3">
        <v>245</v>
      </c>
      <c r="O24" s="3" t="s">
        <v>25</v>
      </c>
    </row>
    <row r="25" spans="1:16">
      <c r="A25" s="5" t="s">
        <v>287</v>
      </c>
      <c r="B25" s="4"/>
      <c r="D25" s="3">
        <v>60</v>
      </c>
      <c r="E25" s="3">
        <v>245</v>
      </c>
      <c r="O25" s="3" t="s">
        <v>42</v>
      </c>
      <c r="P25" s="3" t="s">
        <v>286</v>
      </c>
    </row>
    <row r="26" spans="1:16">
      <c r="A26" s="5" t="s">
        <v>285</v>
      </c>
      <c r="B26" s="4"/>
      <c r="D26" s="3">
        <v>100</v>
      </c>
      <c r="E26" s="3">
        <v>245</v>
      </c>
      <c r="I26" s="3">
        <v>245</v>
      </c>
      <c r="K26" s="3">
        <v>2</v>
      </c>
      <c r="O26" s="3" t="s">
        <v>25</v>
      </c>
      <c r="P26" s="3" t="s">
        <v>284</v>
      </c>
    </row>
    <row r="27" spans="1:16">
      <c r="A27" s="5" t="s">
        <v>283</v>
      </c>
      <c r="B27" s="4"/>
      <c r="D27" s="3">
        <v>100</v>
      </c>
      <c r="E27" s="3">
        <v>335</v>
      </c>
      <c r="O27" s="3" t="s">
        <v>28</v>
      </c>
      <c r="P27" s="3" t="s">
        <v>282</v>
      </c>
    </row>
    <row r="28" spans="1:16">
      <c r="A28" s="5" t="s">
        <v>281</v>
      </c>
      <c r="B28" s="4"/>
      <c r="D28" s="3">
        <v>100</v>
      </c>
      <c r="E28" s="3">
        <v>245</v>
      </c>
      <c r="O28" s="3" t="s">
        <v>28</v>
      </c>
      <c r="P28" s="3" t="s">
        <v>280</v>
      </c>
    </row>
    <row r="29" spans="1:16">
      <c r="A29" s="5" t="s">
        <v>279</v>
      </c>
      <c r="B29" s="4"/>
      <c r="D29" s="3">
        <v>100</v>
      </c>
      <c r="E29" s="3">
        <v>245</v>
      </c>
      <c r="O29" s="3" t="s">
        <v>25</v>
      </c>
      <c r="P29" s="3" t="s">
        <v>278</v>
      </c>
    </row>
    <row r="31" spans="1:16">
      <c r="A31" s="5" t="s">
        <v>277</v>
      </c>
      <c r="B31" s="4">
        <v>30</v>
      </c>
      <c r="D31" s="3">
        <v>59</v>
      </c>
      <c r="E31" s="3" t="s">
        <v>267</v>
      </c>
      <c r="O31" s="3" t="s">
        <v>25</v>
      </c>
    </row>
    <row r="32" spans="1:16">
      <c r="A32" s="5" t="s">
        <v>276</v>
      </c>
      <c r="B32" s="4">
        <v>30</v>
      </c>
      <c r="D32" s="3">
        <v>33.299999999999997</v>
      </c>
      <c r="E32" s="3" t="s">
        <v>275</v>
      </c>
      <c r="O32" s="3" t="s">
        <v>25</v>
      </c>
      <c r="P32" s="3" t="s">
        <v>274</v>
      </c>
    </row>
    <row r="33" spans="1:19">
      <c r="A33" s="5" t="s">
        <v>273</v>
      </c>
      <c r="B33" s="4">
        <v>30</v>
      </c>
      <c r="D33" s="3">
        <v>33.299999999999997</v>
      </c>
      <c r="E33" s="3" t="s">
        <v>267</v>
      </c>
      <c r="O33" s="3" t="s">
        <v>42</v>
      </c>
      <c r="P33" s="3" t="s">
        <v>272</v>
      </c>
    </row>
    <row r="34" spans="1:19">
      <c r="A34" s="5" t="s">
        <v>271</v>
      </c>
      <c r="B34" s="4">
        <v>30</v>
      </c>
      <c r="D34" s="3">
        <v>33.299999999999997</v>
      </c>
      <c r="E34" s="3" t="s">
        <v>267</v>
      </c>
      <c r="I34" s="3" t="s">
        <v>270</v>
      </c>
      <c r="O34" s="3" t="s">
        <v>28</v>
      </c>
      <c r="P34" s="3" t="s">
        <v>269</v>
      </c>
    </row>
    <row r="35" spans="1:19">
      <c r="A35" s="5" t="s">
        <v>268</v>
      </c>
      <c r="B35" s="4">
        <v>30</v>
      </c>
      <c r="D35" s="3">
        <v>33.299999999999997</v>
      </c>
      <c r="E35" s="3" t="s">
        <v>267</v>
      </c>
      <c r="I35" s="3">
        <v>660</v>
      </c>
      <c r="O35" s="3" t="s">
        <v>31</v>
      </c>
      <c r="P35" s="3" t="s">
        <v>266</v>
      </c>
    </row>
    <row r="36" spans="1:19">
      <c r="A36" s="5" t="s">
        <v>265</v>
      </c>
      <c r="B36" s="4">
        <v>30</v>
      </c>
      <c r="D36" s="3">
        <v>60</v>
      </c>
      <c r="E36" s="3" t="s">
        <v>264</v>
      </c>
      <c r="O36" s="3" t="s">
        <v>25</v>
      </c>
      <c r="P36" s="3" t="s">
        <v>263</v>
      </c>
    </row>
    <row r="38" spans="1:19">
      <c r="A38" s="5" t="s">
        <v>262</v>
      </c>
      <c r="B38" s="4">
        <v>20</v>
      </c>
      <c r="E38" s="3">
        <v>480</v>
      </c>
      <c r="F38" s="3" t="s">
        <v>252</v>
      </c>
      <c r="O38" s="3" t="s">
        <v>28</v>
      </c>
    </row>
    <row r="39" spans="1:19">
      <c r="A39" s="5" t="s">
        <v>261</v>
      </c>
      <c r="B39" s="4">
        <v>20</v>
      </c>
      <c r="D39" s="3">
        <v>25</v>
      </c>
      <c r="E39" s="3">
        <v>480</v>
      </c>
      <c r="F39" s="3" t="s">
        <v>252</v>
      </c>
      <c r="I39" s="3" t="s">
        <v>260</v>
      </c>
      <c r="O39" s="3" t="s">
        <v>31</v>
      </c>
    </row>
    <row r="40" spans="1:19">
      <c r="A40" s="5" t="s">
        <v>259</v>
      </c>
      <c r="B40" s="4">
        <v>20</v>
      </c>
      <c r="D40" s="3">
        <v>25</v>
      </c>
      <c r="E40" s="3">
        <v>480</v>
      </c>
      <c r="F40" s="3" t="s">
        <v>252</v>
      </c>
      <c r="O40" s="3" t="s">
        <v>42</v>
      </c>
      <c r="P40" s="3" t="s">
        <v>258</v>
      </c>
    </row>
    <row r="41" spans="1:19">
      <c r="A41" s="5" t="s">
        <v>257</v>
      </c>
      <c r="B41" s="4">
        <v>20</v>
      </c>
      <c r="D41" s="3">
        <v>25</v>
      </c>
      <c r="E41" s="3">
        <v>480</v>
      </c>
      <c r="F41" s="3" t="s">
        <v>252</v>
      </c>
      <c r="O41" s="3" t="s">
        <v>28</v>
      </c>
      <c r="P41" s="3" t="s">
        <v>256</v>
      </c>
    </row>
    <row r="42" spans="1:19">
      <c r="A42" s="5" t="s">
        <v>255</v>
      </c>
      <c r="B42" s="4">
        <v>20</v>
      </c>
      <c r="D42" s="3">
        <v>25</v>
      </c>
      <c r="E42" s="3">
        <v>480</v>
      </c>
      <c r="F42" s="3" t="s">
        <v>252</v>
      </c>
      <c r="O42" s="3" t="s">
        <v>25</v>
      </c>
      <c r="P42" s="3" t="s">
        <v>254</v>
      </c>
    </row>
    <row r="43" spans="1:19">
      <c r="A43" s="5" t="s">
        <v>253</v>
      </c>
      <c r="B43" s="4">
        <v>20</v>
      </c>
      <c r="D43" s="3">
        <v>25</v>
      </c>
      <c r="E43" s="3">
        <v>480</v>
      </c>
      <c r="F43" s="3" t="s">
        <v>252</v>
      </c>
      <c r="O43" s="3" t="s">
        <v>183</v>
      </c>
      <c r="P43" s="3" t="s">
        <v>251</v>
      </c>
      <c r="R43" s="2"/>
      <c r="S43" s="2"/>
    </row>
    <row r="44" spans="1:19">
      <c r="S44" s="2"/>
    </row>
    <row r="45" spans="1:19">
      <c r="A45" s="5" t="s">
        <v>250</v>
      </c>
      <c r="B45" s="4">
        <v>10</v>
      </c>
      <c r="D45" s="3">
        <v>10</v>
      </c>
      <c r="E45" s="3">
        <v>320</v>
      </c>
      <c r="O45" s="3" t="s">
        <v>25</v>
      </c>
      <c r="R45" s="2"/>
      <c r="S45" s="2"/>
    </row>
    <row r="46" spans="1:19">
      <c r="A46" s="5" t="s">
        <v>249</v>
      </c>
      <c r="B46" s="4">
        <v>10</v>
      </c>
      <c r="D46" s="3">
        <v>10</v>
      </c>
      <c r="E46" s="3">
        <v>320</v>
      </c>
      <c r="I46" s="3" t="s">
        <v>248</v>
      </c>
      <c r="O46" s="3" t="s">
        <v>31</v>
      </c>
      <c r="P46" s="3" t="s">
        <v>247</v>
      </c>
      <c r="S46" s="2"/>
    </row>
    <row r="47" spans="1:19">
      <c r="A47" s="5" t="s">
        <v>246</v>
      </c>
      <c r="B47" s="4">
        <v>10</v>
      </c>
      <c r="D47" s="3">
        <v>10</v>
      </c>
      <c r="E47" s="3">
        <v>320</v>
      </c>
      <c r="I47" s="3">
        <v>60</v>
      </c>
      <c r="O47" s="3" t="s">
        <v>42</v>
      </c>
      <c r="P47" s="3" t="s">
        <v>245</v>
      </c>
      <c r="R47" s="2"/>
      <c r="S47" s="2"/>
    </row>
    <row r="48" spans="1:19">
      <c r="A48" s="5" t="s">
        <v>244</v>
      </c>
      <c r="B48" s="4">
        <v>10</v>
      </c>
      <c r="D48" s="3">
        <v>10</v>
      </c>
      <c r="E48" s="3">
        <v>320</v>
      </c>
      <c r="O48" s="3" t="s">
        <v>25</v>
      </c>
      <c r="P48" s="3" t="s">
        <v>243</v>
      </c>
      <c r="S48" s="2"/>
    </row>
    <row r="49" spans="1:19">
      <c r="A49" s="5" t="s">
        <v>242</v>
      </c>
      <c r="B49" s="4">
        <v>10</v>
      </c>
      <c r="D49" s="3">
        <v>10</v>
      </c>
      <c r="E49" s="3">
        <v>320</v>
      </c>
      <c r="I49" s="3">
        <v>380</v>
      </c>
      <c r="J49" s="3">
        <v>6</v>
      </c>
      <c r="O49" s="3" t="s">
        <v>183</v>
      </c>
      <c r="P49" s="3" t="s">
        <v>241</v>
      </c>
      <c r="R49" s="2"/>
      <c r="S49" s="2"/>
    </row>
    <row r="50" spans="1:19">
      <c r="A50" s="5" t="s">
        <v>240</v>
      </c>
      <c r="B50" s="4">
        <v>10</v>
      </c>
      <c r="D50" s="3">
        <v>10</v>
      </c>
      <c r="E50" s="3">
        <v>320</v>
      </c>
      <c r="O50" s="3" t="s">
        <v>25</v>
      </c>
      <c r="P50" s="3" t="s">
        <v>239</v>
      </c>
      <c r="S50" s="2"/>
    </row>
    <row r="51" spans="1:19">
      <c r="R51" s="2"/>
      <c r="S51" s="2"/>
    </row>
    <row r="52" spans="1:19">
      <c r="A52" s="5" t="s">
        <v>238</v>
      </c>
      <c r="B52" s="4">
        <v>30</v>
      </c>
      <c r="D52" s="3">
        <v>33.299999999999997</v>
      </c>
      <c r="E52" s="3" t="s">
        <v>228</v>
      </c>
      <c r="G52" s="3">
        <v>3</v>
      </c>
      <c r="O52" s="3" t="s">
        <v>25</v>
      </c>
      <c r="R52" s="2"/>
      <c r="S52" s="2"/>
    </row>
    <row r="53" spans="1:19">
      <c r="A53" s="5" t="s">
        <v>237</v>
      </c>
      <c r="B53" s="4">
        <v>30</v>
      </c>
      <c r="D53" s="3">
        <v>33.299999999999997</v>
      </c>
      <c r="E53" s="3" t="s">
        <v>228</v>
      </c>
      <c r="G53" s="3">
        <v>3</v>
      </c>
      <c r="O53" s="3" t="s">
        <v>42</v>
      </c>
      <c r="P53" s="3" t="s">
        <v>236</v>
      </c>
      <c r="S53" s="2"/>
    </row>
    <row r="54" spans="1:19">
      <c r="A54" s="5" t="s">
        <v>235</v>
      </c>
      <c r="B54" s="4">
        <v>30</v>
      </c>
      <c r="D54" s="3">
        <v>33.299999999999997</v>
      </c>
      <c r="E54" s="3" t="s">
        <v>228</v>
      </c>
      <c r="G54" s="3">
        <v>3</v>
      </c>
      <c r="I54" s="3">
        <v>310</v>
      </c>
      <c r="J54" s="3">
        <v>10</v>
      </c>
      <c r="O54" s="3" t="s">
        <v>31</v>
      </c>
      <c r="P54" s="3" t="s">
        <v>234</v>
      </c>
      <c r="R54" s="2"/>
      <c r="S54" s="2"/>
    </row>
    <row r="55" spans="1:19">
      <c r="A55" s="5" t="s">
        <v>233</v>
      </c>
      <c r="B55" s="4">
        <v>30</v>
      </c>
      <c r="D55" s="3">
        <v>33.299999999999997</v>
      </c>
      <c r="E55" s="3" t="s">
        <v>228</v>
      </c>
      <c r="G55" s="3">
        <v>3</v>
      </c>
      <c r="O55" s="3" t="s">
        <v>28</v>
      </c>
      <c r="P55" s="3" t="s">
        <v>232</v>
      </c>
      <c r="S55" s="2"/>
    </row>
    <row r="56" spans="1:19">
      <c r="A56" s="5" t="s">
        <v>231</v>
      </c>
      <c r="B56" s="4">
        <v>30</v>
      </c>
      <c r="D56" s="3">
        <v>10</v>
      </c>
      <c r="E56" s="3" t="s">
        <v>228</v>
      </c>
      <c r="I56" s="3">
        <v>170</v>
      </c>
      <c r="K56" s="3">
        <v>3</v>
      </c>
      <c r="O56" s="3" t="s">
        <v>25</v>
      </c>
      <c r="P56" s="3" t="s">
        <v>230</v>
      </c>
      <c r="R56" s="2"/>
      <c r="S56" s="2"/>
    </row>
    <row r="57" spans="1:19">
      <c r="A57" s="5" t="s">
        <v>229</v>
      </c>
      <c r="B57" s="4">
        <v>30</v>
      </c>
      <c r="D57" s="3">
        <v>33.299999999999997</v>
      </c>
      <c r="E57" s="3" t="s">
        <v>228</v>
      </c>
      <c r="O57" s="3" t="s">
        <v>25</v>
      </c>
      <c r="P57" s="3" t="s">
        <v>227</v>
      </c>
      <c r="S57" s="2"/>
    </row>
    <row r="58" spans="1:19">
      <c r="R58" s="2"/>
      <c r="S58" s="2"/>
    </row>
    <row r="59" spans="1:19">
      <c r="A59" s="5" t="s">
        <v>226</v>
      </c>
      <c r="B59" s="4">
        <v>30</v>
      </c>
      <c r="D59" s="3">
        <v>10</v>
      </c>
      <c r="E59" s="3">
        <v>545</v>
      </c>
      <c r="F59" s="3">
        <v>8</v>
      </c>
      <c r="I59" s="3">
        <v>255</v>
      </c>
      <c r="K59" s="3">
        <v>6</v>
      </c>
      <c r="O59" s="3" t="s">
        <v>42</v>
      </c>
      <c r="S59" s="2"/>
    </row>
    <row r="60" spans="1:19">
      <c r="A60" s="5" t="s">
        <v>225</v>
      </c>
      <c r="B60" s="4">
        <v>30</v>
      </c>
      <c r="D60" s="3">
        <v>10</v>
      </c>
      <c r="E60" s="3">
        <v>545</v>
      </c>
      <c r="F60" s="3">
        <v>8</v>
      </c>
      <c r="I60" s="3">
        <v>40</v>
      </c>
      <c r="J60" s="3">
        <v>18</v>
      </c>
      <c r="K60" s="3">
        <v>6</v>
      </c>
      <c r="O60" s="3" t="s">
        <v>25</v>
      </c>
      <c r="P60" s="3" t="s">
        <v>224</v>
      </c>
      <c r="R60" s="2"/>
      <c r="S60" s="2"/>
    </row>
    <row r="61" spans="1:19">
      <c r="A61" s="5" t="s">
        <v>223</v>
      </c>
      <c r="B61" s="4">
        <v>30</v>
      </c>
      <c r="D61" s="3">
        <v>10</v>
      </c>
      <c r="E61" s="3">
        <v>545</v>
      </c>
      <c r="F61" s="3">
        <v>8</v>
      </c>
      <c r="I61" s="3">
        <v>255</v>
      </c>
      <c r="K61" s="3">
        <v>6</v>
      </c>
      <c r="L61" s="3" t="s">
        <v>222</v>
      </c>
      <c r="O61" s="3" t="s">
        <v>31</v>
      </c>
      <c r="P61" s="3" t="s">
        <v>221</v>
      </c>
      <c r="R61" s="2"/>
      <c r="S61" s="2"/>
    </row>
    <row r="62" spans="1:19">
      <c r="A62" s="5" t="s">
        <v>220</v>
      </c>
      <c r="B62" s="4">
        <v>30</v>
      </c>
      <c r="D62" s="3">
        <v>10</v>
      </c>
      <c r="E62" s="3">
        <v>545</v>
      </c>
      <c r="F62" s="3">
        <v>8</v>
      </c>
      <c r="I62" s="3">
        <v>135</v>
      </c>
      <c r="L62" s="3" t="s">
        <v>219</v>
      </c>
      <c r="O62" s="3" t="s">
        <v>42</v>
      </c>
      <c r="P62" s="3" t="s">
        <v>218</v>
      </c>
      <c r="S62" s="2"/>
    </row>
    <row r="63" spans="1:19">
      <c r="A63" s="5" t="s">
        <v>217</v>
      </c>
      <c r="B63" s="4">
        <v>30</v>
      </c>
      <c r="D63" s="3">
        <v>10</v>
      </c>
      <c r="E63" s="3">
        <v>545</v>
      </c>
      <c r="F63" s="3">
        <v>8</v>
      </c>
      <c r="I63" s="3">
        <v>255</v>
      </c>
      <c r="K63" s="3">
        <v>6</v>
      </c>
      <c r="O63" s="3" t="s">
        <v>42</v>
      </c>
      <c r="P63" s="3" t="s">
        <v>216</v>
      </c>
      <c r="R63" s="2"/>
      <c r="S63" s="2"/>
    </row>
    <row r="64" spans="1:19">
      <c r="A64" s="5" t="s">
        <v>215</v>
      </c>
      <c r="B64" s="4">
        <v>30</v>
      </c>
      <c r="D64" s="3">
        <v>10</v>
      </c>
      <c r="E64" s="3">
        <v>435</v>
      </c>
      <c r="F64" s="3">
        <v>8</v>
      </c>
      <c r="I64" s="3">
        <v>185</v>
      </c>
      <c r="K64" s="3">
        <v>6</v>
      </c>
      <c r="O64" s="3" t="s">
        <v>25</v>
      </c>
      <c r="P64" s="3" t="s">
        <v>214</v>
      </c>
      <c r="S64" s="2"/>
    </row>
    <row r="65" spans="1:19">
      <c r="R65" s="2"/>
      <c r="S65" s="2"/>
    </row>
    <row r="66" spans="1:19">
      <c r="A66" s="5" t="s">
        <v>213</v>
      </c>
      <c r="B66" s="4"/>
      <c r="C66" s="3">
        <v>12</v>
      </c>
      <c r="D66" s="3">
        <v>25</v>
      </c>
      <c r="F66" s="3" t="s">
        <v>202</v>
      </c>
      <c r="O66" s="3" t="s">
        <v>25</v>
      </c>
      <c r="P66" s="3" t="s">
        <v>212</v>
      </c>
      <c r="S66" s="2"/>
    </row>
    <row r="67" spans="1:19">
      <c r="A67" s="5" t="s">
        <v>211</v>
      </c>
      <c r="B67" s="4"/>
      <c r="C67" s="3">
        <v>12</v>
      </c>
      <c r="D67" s="3">
        <v>25</v>
      </c>
      <c r="F67" s="3" t="s">
        <v>202</v>
      </c>
      <c r="O67" s="3" t="s">
        <v>25</v>
      </c>
      <c r="P67" s="3" t="s">
        <v>210</v>
      </c>
      <c r="R67" s="2"/>
      <c r="S67" s="2"/>
    </row>
    <row r="68" spans="1:19">
      <c r="A68" s="5" t="s">
        <v>209</v>
      </c>
      <c r="B68" s="4"/>
      <c r="C68" s="3">
        <v>12</v>
      </c>
      <c r="D68" s="3">
        <v>25</v>
      </c>
      <c r="F68" s="3" t="s">
        <v>202</v>
      </c>
      <c r="O68" s="3" t="s">
        <v>25</v>
      </c>
      <c r="P68" s="3" t="s">
        <v>208</v>
      </c>
      <c r="S68" s="2"/>
    </row>
    <row r="69" spans="1:19">
      <c r="A69" s="5" t="s">
        <v>207</v>
      </c>
      <c r="B69" s="4"/>
      <c r="C69" s="3">
        <v>12</v>
      </c>
      <c r="D69" s="3">
        <v>25</v>
      </c>
      <c r="F69" s="3" t="s">
        <v>202</v>
      </c>
      <c r="O69" s="3" t="s">
        <v>25</v>
      </c>
      <c r="P69" s="3" t="s">
        <v>206</v>
      </c>
      <c r="R69" s="2"/>
      <c r="S69" s="2"/>
    </row>
    <row r="70" spans="1:19">
      <c r="A70" s="5" t="s">
        <v>205</v>
      </c>
      <c r="B70" s="4"/>
      <c r="C70" s="3">
        <v>12</v>
      </c>
      <c r="D70" s="3">
        <v>25</v>
      </c>
      <c r="F70" s="3" t="s">
        <v>202</v>
      </c>
      <c r="O70" s="3" t="s">
        <v>28</v>
      </c>
      <c r="P70" s="3" t="s">
        <v>204</v>
      </c>
      <c r="R70" s="2"/>
      <c r="S70" s="2"/>
    </row>
    <row r="71" spans="1:19">
      <c r="A71" s="5" t="s">
        <v>203</v>
      </c>
      <c r="B71" s="4"/>
      <c r="C71" s="3">
        <v>12</v>
      </c>
      <c r="D71" s="3">
        <v>25</v>
      </c>
      <c r="F71" s="3" t="s">
        <v>202</v>
      </c>
      <c r="O71" s="3" t="s">
        <v>25</v>
      </c>
      <c r="P71" s="3" t="s">
        <v>201</v>
      </c>
      <c r="S71" s="2"/>
    </row>
    <row r="72" spans="1:19">
      <c r="R72" s="2"/>
      <c r="S72" s="2"/>
    </row>
    <row r="73" spans="1:19">
      <c r="A73" s="5" t="s">
        <v>200</v>
      </c>
      <c r="B73" s="4"/>
      <c r="C73" s="3">
        <v>30</v>
      </c>
      <c r="D73" s="3">
        <v>0</v>
      </c>
      <c r="O73" s="3" t="s">
        <v>28</v>
      </c>
      <c r="P73" s="3" t="s">
        <v>199</v>
      </c>
      <c r="S73" s="2"/>
    </row>
    <row r="74" spans="1:19">
      <c r="A74" s="5" t="s">
        <v>198</v>
      </c>
      <c r="B74" s="4"/>
      <c r="C74" s="3">
        <v>30</v>
      </c>
      <c r="D74" s="3">
        <v>0</v>
      </c>
      <c r="O74" s="3" t="s">
        <v>28</v>
      </c>
      <c r="P74" s="3" t="s">
        <v>197</v>
      </c>
      <c r="R74" s="2"/>
      <c r="S74" s="2"/>
    </row>
    <row r="75" spans="1:19">
      <c r="A75" s="5" t="s">
        <v>196</v>
      </c>
      <c r="B75" s="4"/>
      <c r="C75" s="3">
        <v>30</v>
      </c>
      <c r="D75" s="3">
        <v>0</v>
      </c>
      <c r="O75" s="3" t="s">
        <v>28</v>
      </c>
      <c r="P75" s="3" t="s">
        <v>195</v>
      </c>
      <c r="S75" s="2"/>
    </row>
    <row r="76" spans="1:19">
      <c r="A76" s="5" t="s">
        <v>194</v>
      </c>
      <c r="B76" s="4"/>
      <c r="C76" s="3">
        <v>30</v>
      </c>
      <c r="D76" s="3">
        <v>10</v>
      </c>
      <c r="E76" s="3">
        <v>1400</v>
      </c>
      <c r="F76" s="3">
        <v>12</v>
      </c>
      <c r="O76" s="3" t="s">
        <v>28</v>
      </c>
      <c r="P76" s="3" t="s">
        <v>193</v>
      </c>
      <c r="R76" s="2"/>
      <c r="S76" s="2"/>
    </row>
    <row r="77" spans="1:19">
      <c r="A77" s="5" t="s">
        <v>192</v>
      </c>
      <c r="B77" s="4"/>
      <c r="C77" s="3">
        <v>30</v>
      </c>
      <c r="D77" s="3">
        <v>0</v>
      </c>
      <c r="O77" s="3" t="s">
        <v>42</v>
      </c>
      <c r="P77" s="3" t="s">
        <v>191</v>
      </c>
      <c r="S77" s="2"/>
    </row>
    <row r="78" spans="1:19">
      <c r="A78" s="5" t="s">
        <v>190</v>
      </c>
      <c r="B78" s="4"/>
      <c r="C78" s="3">
        <v>30</v>
      </c>
      <c r="D78" s="3">
        <v>0</v>
      </c>
      <c r="O78" s="3" t="s">
        <v>42</v>
      </c>
      <c r="P78" s="3" t="s">
        <v>189</v>
      </c>
      <c r="R78" s="2"/>
      <c r="S78" s="2"/>
    </row>
    <row r="79" spans="1:19">
      <c r="R79" s="2"/>
      <c r="S79" s="2"/>
    </row>
    <row r="80" spans="1:19">
      <c r="A80" s="5" t="s">
        <v>188</v>
      </c>
      <c r="B80" s="4"/>
      <c r="C80" s="3">
        <v>30</v>
      </c>
      <c r="D80" s="3">
        <v>0</v>
      </c>
      <c r="F80" s="3">
        <v>20</v>
      </c>
      <c r="O80" s="3" t="s">
        <v>25</v>
      </c>
      <c r="P80" s="3" t="s">
        <v>187</v>
      </c>
      <c r="S80" s="2"/>
    </row>
    <row r="81" spans="1:19">
      <c r="A81" s="5" t="s">
        <v>186</v>
      </c>
      <c r="B81" s="4"/>
      <c r="C81" s="3">
        <v>30</v>
      </c>
      <c r="D81" s="3">
        <v>0</v>
      </c>
      <c r="F81" s="3">
        <v>24</v>
      </c>
      <c r="O81" s="3" t="s">
        <v>25</v>
      </c>
      <c r="P81" s="3" t="s">
        <v>185</v>
      </c>
      <c r="R81" s="2"/>
      <c r="S81" s="2"/>
    </row>
    <row r="82" spans="1:19">
      <c r="A82" s="5" t="s">
        <v>184</v>
      </c>
      <c r="B82" s="4"/>
      <c r="C82" s="3">
        <v>30</v>
      </c>
      <c r="D82" s="3">
        <v>0</v>
      </c>
      <c r="O82" s="3" t="s">
        <v>183</v>
      </c>
      <c r="P82" s="3" t="s">
        <v>182</v>
      </c>
      <c r="S82" s="2"/>
    </row>
    <row r="83" spans="1:19">
      <c r="A83" s="5" t="s">
        <v>181</v>
      </c>
      <c r="B83" s="4"/>
      <c r="C83" s="3">
        <v>30</v>
      </c>
      <c r="D83" s="3">
        <v>0</v>
      </c>
      <c r="O83" s="3" t="s">
        <v>25</v>
      </c>
      <c r="P83" s="3" t="s">
        <v>180</v>
      </c>
      <c r="R83" s="2"/>
      <c r="S83" s="2"/>
    </row>
    <row r="84" spans="1:19">
      <c r="A84" s="5" t="s">
        <v>179</v>
      </c>
      <c r="B84" s="4"/>
      <c r="C84" s="3">
        <v>30</v>
      </c>
      <c r="D84" s="3">
        <v>0</v>
      </c>
      <c r="E84" s="3" t="s">
        <v>178</v>
      </c>
      <c r="O84" s="3" t="s">
        <v>31</v>
      </c>
      <c r="P84" s="3" t="s">
        <v>177</v>
      </c>
      <c r="S84" s="2"/>
    </row>
    <row r="85" spans="1:19">
      <c r="A85" s="5" t="s">
        <v>176</v>
      </c>
      <c r="B85" s="4"/>
      <c r="C85" s="3">
        <v>30</v>
      </c>
      <c r="D85" s="3">
        <v>0</v>
      </c>
      <c r="O85" s="3" t="s">
        <v>25</v>
      </c>
      <c r="P85" s="3" t="s">
        <v>175</v>
      </c>
      <c r="R85" s="2"/>
      <c r="S85" s="2"/>
    </row>
    <row r="87" spans="1:19">
      <c r="A87" s="5" t="s">
        <v>174</v>
      </c>
      <c r="B87" s="4"/>
      <c r="C87" s="3">
        <v>20</v>
      </c>
      <c r="D87" s="3">
        <v>0</v>
      </c>
      <c r="F87" s="3">
        <v>20</v>
      </c>
      <c r="O87" s="3" t="s">
        <v>28</v>
      </c>
      <c r="P87" s="3" t="s">
        <v>173</v>
      </c>
    </row>
    <row r="88" spans="1:19">
      <c r="A88" s="5" t="s">
        <v>172</v>
      </c>
      <c r="B88" s="4"/>
      <c r="C88" s="3">
        <v>20</v>
      </c>
      <c r="D88" s="3">
        <v>0</v>
      </c>
      <c r="F88" s="3">
        <v>20</v>
      </c>
      <c r="O88" s="3" t="s">
        <v>28</v>
      </c>
      <c r="P88" s="3" t="s">
        <v>171</v>
      </c>
    </row>
    <row r="89" spans="1:19">
      <c r="A89" s="5" t="s">
        <v>170</v>
      </c>
      <c r="B89" s="4"/>
      <c r="C89" s="3">
        <v>20</v>
      </c>
      <c r="D89" s="3">
        <v>0</v>
      </c>
      <c r="F89" s="3">
        <v>20</v>
      </c>
      <c r="O89" s="3" t="s">
        <v>28</v>
      </c>
      <c r="P89" s="3" t="s">
        <v>169</v>
      </c>
    </row>
    <row r="90" spans="1:19">
      <c r="A90" s="5" t="s">
        <v>168</v>
      </c>
      <c r="B90" s="4"/>
      <c r="C90" s="3">
        <v>20</v>
      </c>
      <c r="D90" s="3">
        <v>0</v>
      </c>
      <c r="F90" s="3">
        <v>20</v>
      </c>
      <c r="O90" s="3" t="s">
        <v>28</v>
      </c>
      <c r="P90" s="3" t="s">
        <v>167</v>
      </c>
    </row>
    <row r="91" spans="1:19">
      <c r="A91" s="5" t="s">
        <v>166</v>
      </c>
      <c r="B91" s="4"/>
      <c r="C91" s="3">
        <v>20</v>
      </c>
      <c r="D91" s="3">
        <v>0</v>
      </c>
      <c r="F91" s="3">
        <v>20</v>
      </c>
      <c r="O91" s="3" t="s">
        <v>28</v>
      </c>
      <c r="P91" s="3" t="s">
        <v>165</v>
      </c>
    </row>
    <row r="92" spans="1:19">
      <c r="A92" s="5" t="s">
        <v>164</v>
      </c>
      <c r="B92" s="4"/>
      <c r="C92" s="3">
        <v>20</v>
      </c>
      <c r="D92" s="3">
        <v>0</v>
      </c>
      <c r="F92" s="3">
        <v>20</v>
      </c>
      <c r="O92" s="3" t="s">
        <v>28</v>
      </c>
      <c r="P92" s="3" t="s">
        <v>163</v>
      </c>
    </row>
    <row r="94" spans="1:19">
      <c r="A94" s="5" t="s">
        <v>162</v>
      </c>
      <c r="B94" s="4"/>
      <c r="C94" s="3">
        <v>20</v>
      </c>
      <c r="D94" s="3">
        <v>0</v>
      </c>
      <c r="O94" s="3" t="s">
        <v>28</v>
      </c>
      <c r="P94" s="3" t="s">
        <v>161</v>
      </c>
    </row>
    <row r="95" spans="1:19">
      <c r="A95" s="5" t="s">
        <v>160</v>
      </c>
      <c r="B95" s="4"/>
      <c r="C95" s="3">
        <v>20</v>
      </c>
      <c r="D95" s="3">
        <v>0</v>
      </c>
      <c r="O95" s="3" t="s">
        <v>28</v>
      </c>
      <c r="P95" s="3" t="s">
        <v>159</v>
      </c>
    </row>
    <row r="96" spans="1:19">
      <c r="A96" s="5" t="s">
        <v>158</v>
      </c>
      <c r="B96" s="4"/>
      <c r="C96" s="3">
        <v>20</v>
      </c>
      <c r="D96" s="3">
        <v>0</v>
      </c>
      <c r="O96" s="3" t="s">
        <v>28</v>
      </c>
      <c r="P96" s="3" t="s">
        <v>157</v>
      </c>
    </row>
    <row r="97" spans="1:16">
      <c r="A97" s="5" t="s">
        <v>156</v>
      </c>
      <c r="B97" s="4"/>
      <c r="C97" s="3">
        <v>20</v>
      </c>
      <c r="D97" s="3">
        <v>0</v>
      </c>
      <c r="O97" s="3" t="s">
        <v>28</v>
      </c>
      <c r="P97" s="3" t="s">
        <v>155</v>
      </c>
    </row>
    <row r="98" spans="1:16">
      <c r="A98" s="5" t="s">
        <v>154</v>
      </c>
      <c r="B98" s="4"/>
      <c r="C98" s="3">
        <v>20</v>
      </c>
      <c r="D98" s="3">
        <v>0</v>
      </c>
      <c r="E98" s="3">
        <v>50</v>
      </c>
      <c r="O98" s="3" t="s">
        <v>42</v>
      </c>
      <c r="P98" s="3" t="s">
        <v>153</v>
      </c>
    </row>
    <row r="99" spans="1:16">
      <c r="A99" s="5" t="s">
        <v>152</v>
      </c>
      <c r="B99" s="4"/>
      <c r="C99" s="3">
        <v>20</v>
      </c>
      <c r="D99" s="3">
        <v>0</v>
      </c>
      <c r="O99" s="3" t="s">
        <v>28</v>
      </c>
      <c r="P99" s="3" t="s">
        <v>151</v>
      </c>
    </row>
    <row r="101" spans="1:16">
      <c r="A101" s="5" t="s">
        <v>150</v>
      </c>
      <c r="B101" s="4"/>
      <c r="C101" s="3">
        <v>16</v>
      </c>
      <c r="D101" s="3">
        <v>0</v>
      </c>
      <c r="O101" s="3" t="s">
        <v>28</v>
      </c>
      <c r="P101" s="3" t="s">
        <v>149</v>
      </c>
    </row>
    <row r="102" spans="1:16">
      <c r="A102" s="5" t="s">
        <v>148</v>
      </c>
      <c r="B102" s="4"/>
      <c r="C102" s="3">
        <v>16</v>
      </c>
      <c r="D102" s="3">
        <v>10</v>
      </c>
      <c r="E102" s="3">
        <v>515</v>
      </c>
      <c r="O102" s="3" t="s">
        <v>28</v>
      </c>
      <c r="P102" s="3" t="s">
        <v>147</v>
      </c>
    </row>
    <row r="103" spans="1:16">
      <c r="A103" s="5" t="s">
        <v>146</v>
      </c>
      <c r="B103" s="4"/>
      <c r="C103" s="3">
        <v>16</v>
      </c>
      <c r="D103" s="3">
        <v>2</v>
      </c>
      <c r="E103" s="3" t="s">
        <v>145</v>
      </c>
      <c r="O103" s="3" t="s">
        <v>31</v>
      </c>
      <c r="P103" s="3" t="s">
        <v>144</v>
      </c>
    </row>
    <row r="104" spans="1:16">
      <c r="A104" s="5" t="s">
        <v>143</v>
      </c>
      <c r="B104" s="4"/>
      <c r="C104" s="3">
        <v>16</v>
      </c>
      <c r="D104" s="3">
        <v>0</v>
      </c>
      <c r="O104" s="3" t="s">
        <v>28</v>
      </c>
      <c r="P104" s="3" t="s">
        <v>142</v>
      </c>
    </row>
    <row r="105" spans="1:16">
      <c r="A105" s="5" t="s">
        <v>141</v>
      </c>
      <c r="B105" s="4"/>
      <c r="C105" s="3">
        <v>16</v>
      </c>
      <c r="D105" s="3">
        <v>0</v>
      </c>
      <c r="O105" s="3" t="s">
        <v>28</v>
      </c>
      <c r="P105" s="3" t="s">
        <v>140</v>
      </c>
    </row>
    <row r="106" spans="1:16">
      <c r="A106" s="5" t="s">
        <v>139</v>
      </c>
      <c r="B106" s="4"/>
      <c r="C106" s="3">
        <v>16</v>
      </c>
      <c r="D106" s="3">
        <v>4</v>
      </c>
      <c r="E106" s="3">
        <v>185</v>
      </c>
      <c r="G106" s="3">
        <v>5</v>
      </c>
      <c r="O106" s="3" t="s">
        <v>25</v>
      </c>
      <c r="P106" s="3" t="s">
        <v>138</v>
      </c>
    </row>
    <row r="108" spans="1:16">
      <c r="A108" s="5" t="s">
        <v>137</v>
      </c>
      <c r="B108" s="4"/>
      <c r="C108" s="3">
        <v>15</v>
      </c>
      <c r="D108" s="3">
        <v>83.3</v>
      </c>
      <c r="E108" s="3">
        <v>1160</v>
      </c>
      <c r="F108" s="3">
        <v>15</v>
      </c>
      <c r="O108" s="3" t="s">
        <v>25</v>
      </c>
      <c r="P108" s="3" t="s">
        <v>136</v>
      </c>
    </row>
    <row r="109" spans="1:16">
      <c r="A109" s="5" t="s">
        <v>135</v>
      </c>
      <c r="B109" s="4"/>
      <c r="C109" s="3">
        <v>15</v>
      </c>
      <c r="D109" s="3">
        <v>50</v>
      </c>
      <c r="E109" s="3">
        <v>1160</v>
      </c>
      <c r="F109" s="3">
        <v>15</v>
      </c>
      <c r="O109" s="3" t="s">
        <v>25</v>
      </c>
      <c r="P109" s="3" t="s">
        <v>134</v>
      </c>
    </row>
    <row r="110" spans="1:16">
      <c r="A110" s="5" t="s">
        <v>133</v>
      </c>
      <c r="B110" s="4"/>
      <c r="C110" s="3">
        <v>15</v>
      </c>
      <c r="D110" s="3">
        <v>83.3</v>
      </c>
      <c r="E110" s="3">
        <v>1160</v>
      </c>
      <c r="F110" s="3">
        <v>15</v>
      </c>
      <c r="O110" s="3" t="s">
        <v>25</v>
      </c>
      <c r="P110" s="3" t="s">
        <v>132</v>
      </c>
    </row>
    <row r="111" spans="1:16">
      <c r="A111" s="5" t="s">
        <v>131</v>
      </c>
      <c r="B111" s="4"/>
      <c r="C111" s="3">
        <v>15</v>
      </c>
      <c r="D111" s="3">
        <v>83.3</v>
      </c>
      <c r="E111" s="3">
        <v>1160</v>
      </c>
      <c r="F111" s="3">
        <v>15</v>
      </c>
      <c r="O111" s="3" t="s">
        <v>25</v>
      </c>
      <c r="P111" s="3" t="s">
        <v>130</v>
      </c>
    </row>
    <row r="112" spans="1:16">
      <c r="A112" s="5" t="s">
        <v>129</v>
      </c>
      <c r="B112" s="4"/>
      <c r="C112" s="3">
        <v>15</v>
      </c>
      <c r="D112" s="3">
        <v>50</v>
      </c>
      <c r="E112" s="3">
        <v>1160</v>
      </c>
      <c r="F112" s="3">
        <v>20</v>
      </c>
      <c r="O112" s="3" t="s">
        <v>28</v>
      </c>
      <c r="P112" s="3" t="s">
        <v>128</v>
      </c>
    </row>
    <row r="113" spans="1:16">
      <c r="A113" s="5" t="s">
        <v>127</v>
      </c>
      <c r="B113" s="4"/>
      <c r="C113" s="3">
        <v>15</v>
      </c>
      <c r="D113" s="3">
        <v>166.7</v>
      </c>
      <c r="E113" s="3">
        <v>1160</v>
      </c>
      <c r="F113" s="3">
        <v>15</v>
      </c>
      <c r="O113" s="3" t="s">
        <v>31</v>
      </c>
      <c r="P113" s="3" t="s">
        <v>126</v>
      </c>
    </row>
    <row r="115" spans="1:16">
      <c r="A115" s="5" t="s">
        <v>125</v>
      </c>
      <c r="B115" s="4">
        <v>30</v>
      </c>
      <c r="D115" s="3">
        <v>33.299999999999997</v>
      </c>
      <c r="E115" s="3">
        <v>490</v>
      </c>
      <c r="O115" s="3" t="s">
        <v>28</v>
      </c>
      <c r="P115" s="3" t="s">
        <v>124</v>
      </c>
    </row>
    <row r="116" spans="1:16">
      <c r="A116" s="5" t="s">
        <v>123</v>
      </c>
      <c r="B116" s="4"/>
      <c r="C116" s="3">
        <v>15</v>
      </c>
      <c r="D116" s="3">
        <v>0</v>
      </c>
      <c r="E116" s="3">
        <v>185</v>
      </c>
      <c r="O116" s="3" t="s">
        <v>28</v>
      </c>
      <c r="P116" s="3" t="s">
        <v>122</v>
      </c>
    </row>
    <row r="117" spans="1:16">
      <c r="A117" s="5" t="s">
        <v>121</v>
      </c>
      <c r="B117" s="4">
        <v>30</v>
      </c>
      <c r="D117" s="3">
        <v>33.299999999999997</v>
      </c>
      <c r="E117" s="3">
        <v>180</v>
      </c>
      <c r="O117" s="3" t="s">
        <v>28</v>
      </c>
    </row>
    <row r="118" spans="1:16">
      <c r="A118" s="5" t="s">
        <v>120</v>
      </c>
      <c r="B118" s="4">
        <v>30</v>
      </c>
      <c r="D118" s="3">
        <v>33.299999999999997</v>
      </c>
      <c r="E118" s="3">
        <v>490</v>
      </c>
      <c r="O118" s="3" t="s">
        <v>28</v>
      </c>
      <c r="P118" s="3" t="s">
        <v>119</v>
      </c>
    </row>
    <row r="119" spans="1:16">
      <c r="A119" s="5" t="s">
        <v>118</v>
      </c>
      <c r="B119" s="4"/>
      <c r="C119" s="3">
        <v>15</v>
      </c>
      <c r="D119" s="3">
        <v>33.299999999999997</v>
      </c>
      <c r="O119" s="3" t="s">
        <v>28</v>
      </c>
      <c r="P119" s="3" t="s">
        <v>117</v>
      </c>
    </row>
    <row r="120" spans="1:16">
      <c r="A120" s="5" t="s">
        <v>116</v>
      </c>
      <c r="B120" s="4"/>
      <c r="C120" s="3">
        <v>30</v>
      </c>
      <c r="D120" s="3">
        <v>0</v>
      </c>
      <c r="E120" s="3">
        <v>560</v>
      </c>
      <c r="O120" s="3" t="s">
        <v>28</v>
      </c>
      <c r="P120" s="3" t="s">
        <v>115</v>
      </c>
    </row>
    <row r="122" spans="1:16">
      <c r="A122" s="5" t="s">
        <v>114</v>
      </c>
      <c r="B122" s="4"/>
      <c r="C122" s="3">
        <v>30</v>
      </c>
      <c r="D122" s="3">
        <v>0</v>
      </c>
      <c r="O122" s="3" t="s">
        <v>28</v>
      </c>
      <c r="P122" s="3" t="s">
        <v>113</v>
      </c>
    </row>
    <row r="123" spans="1:16">
      <c r="A123" s="5" t="s">
        <v>112</v>
      </c>
      <c r="B123" s="4"/>
      <c r="C123" s="3">
        <v>30</v>
      </c>
      <c r="D123" s="3">
        <v>0</v>
      </c>
      <c r="O123" s="3" t="s">
        <v>28</v>
      </c>
      <c r="P123" s="3" t="s">
        <v>111</v>
      </c>
    </row>
    <row r="124" spans="1:16">
      <c r="A124" s="5" t="s">
        <v>110</v>
      </c>
      <c r="B124" s="4"/>
      <c r="C124" s="3">
        <v>30</v>
      </c>
      <c r="D124" s="3">
        <v>0</v>
      </c>
      <c r="F124" s="3">
        <v>10</v>
      </c>
      <c r="O124" s="3" t="s">
        <v>28</v>
      </c>
      <c r="P124" s="3" t="s">
        <v>109</v>
      </c>
    </row>
    <row r="125" spans="1:16">
      <c r="A125" s="5" t="s">
        <v>108</v>
      </c>
      <c r="B125" s="4"/>
      <c r="C125" s="3">
        <v>30</v>
      </c>
      <c r="D125" s="3">
        <v>0</v>
      </c>
      <c r="O125" s="3" t="s">
        <v>28</v>
      </c>
      <c r="P125" s="3" t="s">
        <v>107</v>
      </c>
    </row>
    <row r="126" spans="1:16">
      <c r="A126" s="5" t="s">
        <v>106</v>
      </c>
      <c r="B126" s="4"/>
      <c r="C126" s="3">
        <v>30</v>
      </c>
      <c r="D126" s="3">
        <v>0</v>
      </c>
      <c r="O126" s="3" t="s">
        <v>28</v>
      </c>
      <c r="P126" s="3" t="s">
        <v>105</v>
      </c>
    </row>
    <row r="127" spans="1:16">
      <c r="A127" s="5" t="s">
        <v>104</v>
      </c>
      <c r="B127" s="4"/>
      <c r="C127" s="3">
        <v>30</v>
      </c>
      <c r="D127" s="3">
        <v>0</v>
      </c>
      <c r="O127" s="3" t="s">
        <v>28</v>
      </c>
      <c r="P127" s="3" t="s">
        <v>103</v>
      </c>
    </row>
    <row r="129" spans="1:16">
      <c r="A129" s="5" t="s">
        <v>102</v>
      </c>
      <c r="B129" s="4"/>
      <c r="C129" s="3">
        <v>30</v>
      </c>
      <c r="D129" s="3">
        <v>0</v>
      </c>
      <c r="O129" s="3" t="s">
        <v>28</v>
      </c>
      <c r="P129" s="3" t="s">
        <v>101</v>
      </c>
    </row>
    <row r="130" spans="1:16">
      <c r="A130" s="5" t="s">
        <v>100</v>
      </c>
      <c r="B130" s="4"/>
      <c r="C130" s="3">
        <v>30</v>
      </c>
      <c r="D130" s="3">
        <v>0</v>
      </c>
      <c r="O130" s="3" t="s">
        <v>28</v>
      </c>
      <c r="P130" s="3" t="s">
        <v>99</v>
      </c>
    </row>
    <row r="131" spans="1:16">
      <c r="A131" s="5" t="s">
        <v>98</v>
      </c>
      <c r="B131" s="4"/>
      <c r="C131" s="3">
        <v>30</v>
      </c>
      <c r="D131" s="3">
        <v>0</v>
      </c>
      <c r="O131" s="3" t="s">
        <v>28</v>
      </c>
      <c r="P131" s="3" t="s">
        <v>97</v>
      </c>
    </row>
    <row r="132" spans="1:16">
      <c r="A132" s="5" t="s">
        <v>96</v>
      </c>
      <c r="B132" s="4"/>
      <c r="C132" s="3">
        <v>30</v>
      </c>
      <c r="D132" s="3">
        <v>0</v>
      </c>
      <c r="O132" s="3" t="s">
        <v>28</v>
      </c>
      <c r="P132" s="3" t="s">
        <v>95</v>
      </c>
    </row>
    <row r="133" spans="1:16">
      <c r="A133" s="5" t="s">
        <v>94</v>
      </c>
      <c r="B133" s="4"/>
      <c r="C133" s="3">
        <v>30</v>
      </c>
      <c r="D133" s="3">
        <v>0</v>
      </c>
      <c r="O133" s="3" t="s">
        <v>28</v>
      </c>
      <c r="P133" s="3" t="s">
        <v>93</v>
      </c>
    </row>
    <row r="134" spans="1:16">
      <c r="A134" s="5" t="s">
        <v>92</v>
      </c>
      <c r="B134" s="4"/>
      <c r="C134" s="3">
        <v>30</v>
      </c>
      <c r="D134" s="3">
        <v>0</v>
      </c>
      <c r="O134" s="3" t="s">
        <v>28</v>
      </c>
      <c r="P134" s="3" t="s">
        <v>91</v>
      </c>
    </row>
    <row r="136" spans="1:16">
      <c r="A136" s="5" t="s">
        <v>90</v>
      </c>
      <c r="B136" s="4"/>
      <c r="C136" s="3">
        <v>30</v>
      </c>
      <c r="D136" s="3">
        <v>0</v>
      </c>
      <c r="O136" s="3" t="s">
        <v>28</v>
      </c>
      <c r="P136" s="3" t="s">
        <v>89</v>
      </c>
    </row>
    <row r="137" spans="1:16">
      <c r="A137" s="5" t="s">
        <v>88</v>
      </c>
      <c r="B137" s="4"/>
      <c r="C137" s="3">
        <v>30</v>
      </c>
      <c r="D137" s="3">
        <v>0</v>
      </c>
      <c r="O137" s="3" t="s">
        <v>28</v>
      </c>
      <c r="P137" s="3" t="s">
        <v>87</v>
      </c>
    </row>
    <row r="138" spans="1:16">
      <c r="A138" s="5" t="s">
        <v>86</v>
      </c>
      <c r="B138" s="4"/>
      <c r="C138" s="3">
        <v>30</v>
      </c>
      <c r="D138" s="3">
        <v>0</v>
      </c>
      <c r="O138" s="3" t="s">
        <v>28</v>
      </c>
      <c r="P138" s="3" t="s">
        <v>85</v>
      </c>
    </row>
    <row r="139" spans="1:16">
      <c r="A139" s="5" t="s">
        <v>84</v>
      </c>
      <c r="B139" s="4"/>
      <c r="C139" s="3">
        <v>30</v>
      </c>
      <c r="D139" s="3">
        <v>0</v>
      </c>
      <c r="O139" s="3" t="s">
        <v>28</v>
      </c>
      <c r="P139" s="3" t="s">
        <v>83</v>
      </c>
    </row>
    <row r="140" spans="1:16">
      <c r="A140" s="5" t="s">
        <v>82</v>
      </c>
      <c r="B140" s="4"/>
      <c r="C140" s="3">
        <v>30</v>
      </c>
      <c r="D140" s="3">
        <v>0</v>
      </c>
      <c r="O140" s="3" t="s">
        <v>28</v>
      </c>
      <c r="P140" s="3" t="s">
        <v>81</v>
      </c>
    </row>
    <row r="141" spans="1:16">
      <c r="A141" s="5" t="s">
        <v>80</v>
      </c>
      <c r="B141" s="4"/>
      <c r="C141" s="3">
        <v>30</v>
      </c>
      <c r="D141" s="3">
        <v>0</v>
      </c>
      <c r="O141" s="3" t="s">
        <v>28</v>
      </c>
      <c r="P141" s="3" t="s">
        <v>79</v>
      </c>
    </row>
    <row r="143" spans="1:16">
      <c r="A143" s="5" t="s">
        <v>78</v>
      </c>
      <c r="B143" s="4">
        <v>25</v>
      </c>
      <c r="C143" s="3">
        <v>30</v>
      </c>
      <c r="D143" s="3">
        <v>100</v>
      </c>
      <c r="E143" s="3">
        <v>1700</v>
      </c>
      <c r="F143" s="3">
        <v>14</v>
      </c>
      <c r="O143" s="3" t="s">
        <v>28</v>
      </c>
    </row>
    <row r="144" spans="1:16">
      <c r="A144" s="5" t="s">
        <v>77</v>
      </c>
      <c r="B144" s="4">
        <v>25</v>
      </c>
      <c r="C144" s="3">
        <v>30</v>
      </c>
      <c r="D144" s="3">
        <v>50</v>
      </c>
      <c r="E144" s="3">
        <v>1700</v>
      </c>
      <c r="F144" s="3">
        <v>14</v>
      </c>
      <c r="H144" s="3">
        <v>0.7</v>
      </c>
      <c r="I144" s="3" t="s">
        <v>76</v>
      </c>
      <c r="O144" s="3" t="s">
        <v>31</v>
      </c>
      <c r="P144" s="3" t="s">
        <v>75</v>
      </c>
    </row>
    <row r="145" spans="1:16">
      <c r="A145" s="5" t="s">
        <v>74</v>
      </c>
      <c r="B145" s="4">
        <v>25</v>
      </c>
      <c r="C145" s="3">
        <v>30</v>
      </c>
      <c r="D145" s="3">
        <v>50</v>
      </c>
      <c r="E145" s="3">
        <v>1700</v>
      </c>
      <c r="F145" s="3">
        <v>14</v>
      </c>
      <c r="H145" s="3">
        <v>8.3000000000000007</v>
      </c>
      <c r="I145" s="3">
        <v>605</v>
      </c>
      <c r="O145" s="3" t="s">
        <v>42</v>
      </c>
      <c r="P145" s="3" t="s">
        <v>73</v>
      </c>
    </row>
    <row r="146" spans="1:16">
      <c r="A146" s="5" t="s">
        <v>72</v>
      </c>
      <c r="B146" s="4">
        <v>25</v>
      </c>
      <c r="C146" s="3">
        <v>30</v>
      </c>
      <c r="D146" s="3">
        <v>100</v>
      </c>
      <c r="E146" s="3">
        <v>1700</v>
      </c>
      <c r="F146" s="3">
        <v>14</v>
      </c>
      <c r="I146" s="3">
        <v>280</v>
      </c>
      <c r="O146" s="3" t="s">
        <v>28</v>
      </c>
      <c r="P146" s="3" t="s">
        <v>71</v>
      </c>
    </row>
    <row r="147" spans="1:16">
      <c r="A147" s="5" t="s">
        <v>70</v>
      </c>
      <c r="B147" s="4">
        <v>25</v>
      </c>
      <c r="C147" s="3">
        <v>30</v>
      </c>
      <c r="D147" s="3">
        <v>100</v>
      </c>
      <c r="E147" s="3">
        <v>1700</v>
      </c>
      <c r="F147" s="3">
        <v>14</v>
      </c>
      <c r="O147" s="3" t="s">
        <v>42</v>
      </c>
      <c r="P147" s="3" t="s">
        <v>69</v>
      </c>
    </row>
    <row r="148" spans="1:16">
      <c r="A148" s="5" t="s">
        <v>68</v>
      </c>
      <c r="B148" s="4">
        <v>25</v>
      </c>
      <c r="C148" s="3">
        <v>30</v>
      </c>
      <c r="D148" s="3">
        <v>50</v>
      </c>
      <c r="E148" s="3">
        <v>1700</v>
      </c>
      <c r="F148" s="3">
        <v>14</v>
      </c>
      <c r="H148" s="3">
        <v>0.7</v>
      </c>
      <c r="I148" s="3">
        <v>230</v>
      </c>
      <c r="O148" s="3" t="s">
        <v>25</v>
      </c>
      <c r="P148" s="3" t="s">
        <v>67</v>
      </c>
    </row>
    <row r="150" spans="1:16">
      <c r="A150" s="5" t="s">
        <v>66</v>
      </c>
      <c r="B150" s="4"/>
      <c r="C150" s="3">
        <v>90</v>
      </c>
      <c r="D150" s="3">
        <v>25</v>
      </c>
      <c r="O150" s="3" t="s">
        <v>31</v>
      </c>
      <c r="P150" s="3" t="s">
        <v>65</v>
      </c>
    </row>
    <row r="151" spans="1:16">
      <c r="A151" s="5" t="s">
        <v>64</v>
      </c>
      <c r="B151" s="4"/>
      <c r="C151" s="3">
        <v>90</v>
      </c>
      <c r="D151" s="3">
        <v>25</v>
      </c>
      <c r="E151" s="3" t="s">
        <v>63</v>
      </c>
      <c r="O151" s="3" t="s">
        <v>31</v>
      </c>
      <c r="P151" s="3" t="s">
        <v>62</v>
      </c>
    </row>
    <row r="152" spans="1:16">
      <c r="A152" s="5" t="s">
        <v>61</v>
      </c>
      <c r="B152" s="4"/>
      <c r="C152" s="3">
        <v>90</v>
      </c>
      <c r="D152" s="3">
        <v>25</v>
      </c>
      <c r="O152" s="3" t="s">
        <v>28</v>
      </c>
      <c r="P152" s="3" t="s">
        <v>60</v>
      </c>
    </row>
    <row r="153" spans="1:16">
      <c r="A153" s="5" t="s">
        <v>59</v>
      </c>
      <c r="B153" s="4"/>
      <c r="C153" s="3">
        <v>90</v>
      </c>
      <c r="D153" s="3">
        <v>25</v>
      </c>
      <c r="O153" s="3" t="s">
        <v>42</v>
      </c>
      <c r="P153" s="3" t="s">
        <v>58</v>
      </c>
    </row>
    <row r="154" spans="1:16">
      <c r="A154" s="5" t="s">
        <v>57</v>
      </c>
      <c r="B154" s="4"/>
      <c r="C154" s="3">
        <v>90</v>
      </c>
      <c r="D154" s="3">
        <v>25</v>
      </c>
      <c r="O154" s="3" t="s">
        <v>25</v>
      </c>
      <c r="P154" s="3" t="s">
        <v>56</v>
      </c>
    </row>
    <row r="155" spans="1:16">
      <c r="A155" s="5" t="s">
        <v>55</v>
      </c>
      <c r="B155" s="4"/>
      <c r="C155" s="3">
        <v>90</v>
      </c>
      <c r="D155" s="3">
        <v>25</v>
      </c>
      <c r="O155" s="3" t="s">
        <v>25</v>
      </c>
      <c r="P155" s="3" t="s">
        <v>54</v>
      </c>
    </row>
    <row r="157" spans="1:16">
      <c r="A157" s="5" t="s">
        <v>53</v>
      </c>
      <c r="B157" s="4"/>
      <c r="C157" s="3">
        <v>20</v>
      </c>
      <c r="D157" s="3">
        <v>5</v>
      </c>
      <c r="E157" s="3" t="s">
        <v>43</v>
      </c>
      <c r="O157" s="3" t="s">
        <v>25</v>
      </c>
    </row>
    <row r="158" spans="1:16">
      <c r="A158" s="5" t="s">
        <v>52</v>
      </c>
      <c r="B158" s="4"/>
      <c r="C158" s="3">
        <v>20</v>
      </c>
      <c r="D158" s="3">
        <v>5</v>
      </c>
      <c r="E158" s="3" t="s">
        <v>43</v>
      </c>
      <c r="I158" s="3" t="s">
        <v>51</v>
      </c>
      <c r="O158" s="3" t="s">
        <v>25</v>
      </c>
      <c r="P158" s="3" t="s">
        <v>50</v>
      </c>
    </row>
    <row r="159" spans="1:16">
      <c r="A159" s="5" t="s">
        <v>49</v>
      </c>
      <c r="B159" s="4"/>
      <c r="C159" s="3">
        <v>20</v>
      </c>
      <c r="D159" s="3">
        <v>5</v>
      </c>
      <c r="E159" s="3" t="s">
        <v>48</v>
      </c>
      <c r="F159" s="3">
        <v>12</v>
      </c>
      <c r="O159" s="3" t="s">
        <v>25</v>
      </c>
    </row>
    <row r="160" spans="1:16">
      <c r="A160" s="5" t="s">
        <v>47</v>
      </c>
      <c r="B160" s="4"/>
      <c r="C160" s="3">
        <v>20</v>
      </c>
      <c r="D160" s="3">
        <v>3.3</v>
      </c>
      <c r="E160" s="3" t="s">
        <v>46</v>
      </c>
      <c r="G160" s="3">
        <v>3</v>
      </c>
      <c r="O160" s="3" t="s">
        <v>25</v>
      </c>
      <c r="P160" s="3" t="s">
        <v>45</v>
      </c>
    </row>
    <row r="161" spans="1:16">
      <c r="A161" s="5" t="s">
        <v>44</v>
      </c>
      <c r="B161" s="4"/>
      <c r="C161" s="3">
        <v>20</v>
      </c>
      <c r="D161" s="3">
        <v>5</v>
      </c>
      <c r="E161" s="3" t="s">
        <v>43</v>
      </c>
      <c r="O161" s="3" t="s">
        <v>42</v>
      </c>
      <c r="P161" s="3" t="s">
        <v>41</v>
      </c>
    </row>
    <row r="162" spans="1:16">
      <c r="A162" s="5" t="s">
        <v>40</v>
      </c>
      <c r="B162" s="4">
        <v>40</v>
      </c>
      <c r="D162" s="3">
        <v>50</v>
      </c>
      <c r="E162" s="3">
        <v>960</v>
      </c>
      <c r="O162" s="3" t="s">
        <v>25</v>
      </c>
      <c r="P162" s="3" t="s">
        <v>39</v>
      </c>
    </row>
    <row r="164" spans="1:16">
      <c r="A164" s="5" t="s">
        <v>38</v>
      </c>
      <c r="B164" s="4"/>
      <c r="C164" s="3">
        <v>60</v>
      </c>
      <c r="D164" s="3">
        <v>48</v>
      </c>
      <c r="E164" s="3">
        <v>2850</v>
      </c>
      <c r="F164" s="3">
        <v>12</v>
      </c>
      <c r="O164" s="3" t="s">
        <v>28</v>
      </c>
      <c r="P164" s="3" t="s">
        <v>37</v>
      </c>
    </row>
    <row r="165" spans="1:16">
      <c r="A165" s="5" t="s">
        <v>36</v>
      </c>
      <c r="B165" s="4"/>
      <c r="C165" s="3">
        <v>60</v>
      </c>
      <c r="D165" s="3">
        <v>48</v>
      </c>
      <c r="E165" s="3">
        <v>2850</v>
      </c>
      <c r="F165" s="3">
        <v>12</v>
      </c>
      <c r="O165" s="3" t="s">
        <v>28</v>
      </c>
      <c r="P165" s="3" t="s">
        <v>35</v>
      </c>
    </row>
    <row r="166" spans="1:16">
      <c r="A166" s="5" t="s">
        <v>34</v>
      </c>
      <c r="B166" s="4"/>
      <c r="C166" s="3">
        <v>60</v>
      </c>
      <c r="D166" s="3">
        <v>48</v>
      </c>
      <c r="E166" s="3">
        <v>2850</v>
      </c>
      <c r="F166" s="3">
        <v>12</v>
      </c>
      <c r="O166" s="3" t="s">
        <v>31</v>
      </c>
      <c r="P166" s="3" t="s">
        <v>33</v>
      </c>
    </row>
    <row r="167" spans="1:16">
      <c r="A167" s="5" t="s">
        <v>32</v>
      </c>
      <c r="B167" s="4"/>
      <c r="C167" s="3">
        <v>60</v>
      </c>
      <c r="D167" s="3">
        <v>48</v>
      </c>
      <c r="E167" s="3">
        <v>2850</v>
      </c>
      <c r="F167" s="3">
        <v>12</v>
      </c>
      <c r="I167" s="3">
        <v>160</v>
      </c>
      <c r="J167" s="3">
        <v>10</v>
      </c>
      <c r="O167" s="3" t="s">
        <v>31</v>
      </c>
      <c r="P167" s="3" t="s">
        <v>30</v>
      </c>
    </row>
    <row r="168" spans="1:16">
      <c r="A168" s="5" t="s">
        <v>29</v>
      </c>
      <c r="B168" s="4"/>
      <c r="C168" s="3">
        <v>60</v>
      </c>
      <c r="D168" s="3">
        <v>100</v>
      </c>
      <c r="E168" s="3">
        <v>3320</v>
      </c>
      <c r="F168" s="3">
        <v>18</v>
      </c>
      <c r="O168" s="3" t="s">
        <v>28</v>
      </c>
      <c r="P168" s="3" t="s">
        <v>27</v>
      </c>
    </row>
    <row r="169" spans="1:16">
      <c r="A169" s="5" t="s">
        <v>26</v>
      </c>
      <c r="B169" s="4"/>
      <c r="C169" s="3">
        <v>60</v>
      </c>
      <c r="D169" s="3">
        <v>48</v>
      </c>
      <c r="E169" s="3">
        <v>2850</v>
      </c>
      <c r="F169" s="3">
        <v>12</v>
      </c>
      <c r="O169" s="3" t="s">
        <v>25</v>
      </c>
      <c r="P169" s="3" t="s">
        <v>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G21"/>
  <sheetViews>
    <sheetView workbookViewId="0">
      <selection activeCell="A8" sqref="A8"/>
    </sheetView>
  </sheetViews>
  <sheetFormatPr baseColWidth="10" defaultColWidth="14.42578125" defaultRowHeight="15.75" customHeight="1"/>
  <cols>
    <col min="1" max="1" width="36.42578125" style="96" customWidth="1"/>
    <col min="2" max="11" width="14.42578125" style="96"/>
    <col min="12" max="12" width="17.85546875" style="96" customWidth="1"/>
    <col min="13" max="16384" width="14.42578125" style="96"/>
  </cols>
  <sheetData>
    <row r="1" spans="1:59" ht="15.75" customHeight="1">
      <c r="A1" s="95"/>
      <c r="B1" s="95" t="s">
        <v>559</v>
      </c>
      <c r="C1" s="95" t="s">
        <v>560</v>
      </c>
      <c r="D1" s="95" t="s">
        <v>561</v>
      </c>
      <c r="E1" s="95" t="s">
        <v>562</v>
      </c>
      <c r="F1" s="95" t="s">
        <v>563</v>
      </c>
      <c r="G1" s="95" t="s">
        <v>564</v>
      </c>
      <c r="H1" s="95" t="s">
        <v>565</v>
      </c>
      <c r="I1" s="95" t="s">
        <v>566</v>
      </c>
      <c r="J1" s="95" t="s">
        <v>567</v>
      </c>
      <c r="K1" s="95" t="s">
        <v>568</v>
      </c>
      <c r="L1" s="95" t="s">
        <v>569</v>
      </c>
      <c r="M1" s="95" t="s">
        <v>570</v>
      </c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</row>
    <row r="2" spans="1:59" ht="15.75" customHeight="1">
      <c r="A2" s="100" t="s">
        <v>572</v>
      </c>
      <c r="B2" s="95">
        <v>316</v>
      </c>
      <c r="C2" s="95">
        <v>585</v>
      </c>
      <c r="D2" s="95">
        <v>1.2</v>
      </c>
      <c r="E2" s="95">
        <v>1199</v>
      </c>
      <c r="F2" s="95">
        <v>1490</v>
      </c>
      <c r="G2" s="97">
        <f t="shared" ref="G2" si="0">AVERAGE(B2+E2,C2+F2)*D2</f>
        <v>2154</v>
      </c>
      <c r="H2" s="97">
        <v>2154</v>
      </c>
      <c r="I2" s="95">
        <v>1560</v>
      </c>
      <c r="J2" s="95">
        <v>1940</v>
      </c>
      <c r="K2" s="95">
        <f t="shared" ref="K2" si="1">AVERAGE(B2,C2)</f>
        <v>450.5</v>
      </c>
      <c r="L2" s="95">
        <f t="shared" ref="L2" si="2">AVERAGE(E2,F2)</f>
        <v>1344.5</v>
      </c>
      <c r="M2" s="97">
        <f t="shared" ref="M2" si="3">AVERAGE(I2,J2)</f>
        <v>1750</v>
      </c>
      <c r="N2" s="98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</row>
    <row r="3" spans="1:59" ht="15.75" customHeight="1">
      <c r="A3" s="100" t="s">
        <v>573</v>
      </c>
      <c r="B3" s="95">
        <v>1737</v>
      </c>
      <c r="C3" s="95">
        <v>1912</v>
      </c>
      <c r="D3" s="95">
        <v>1</v>
      </c>
      <c r="E3" s="95">
        <v>1439</v>
      </c>
      <c r="F3" s="95">
        <v>1788</v>
      </c>
      <c r="G3" s="97">
        <f t="shared" ref="G3:G12" si="4">AVERAGE(B3+E3,C3+F3)*D3</f>
        <v>3438</v>
      </c>
      <c r="H3" s="97">
        <v>3438</v>
      </c>
      <c r="I3" s="95">
        <v>1870</v>
      </c>
      <c r="J3" s="95">
        <v>2325</v>
      </c>
      <c r="K3" s="95">
        <f t="shared" ref="K3:K12" si="5">AVERAGE(B3,C3)</f>
        <v>1824.5</v>
      </c>
      <c r="L3" s="95">
        <f t="shared" ref="L3:L12" si="6">AVERAGE(E3,F3)</f>
        <v>1613.5</v>
      </c>
      <c r="M3" s="97">
        <f t="shared" ref="M3:M12" si="7">AVERAGE(I3,J3)</f>
        <v>2097.5</v>
      </c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</row>
    <row r="4" spans="1:59" ht="15.75" customHeight="1">
      <c r="A4" s="100" t="s">
        <v>574</v>
      </c>
      <c r="B4" s="95">
        <v>1384</v>
      </c>
      <c r="C4" s="95">
        <v>1685</v>
      </c>
      <c r="D4" s="95">
        <v>1.1000000000000001</v>
      </c>
      <c r="E4" s="95">
        <v>1439</v>
      </c>
      <c r="F4" s="95">
        <v>1788</v>
      </c>
      <c r="G4" s="97">
        <f t="shared" si="4"/>
        <v>3462.8</v>
      </c>
      <c r="H4" s="97">
        <v>3462.8</v>
      </c>
      <c r="I4" s="95">
        <v>1870</v>
      </c>
      <c r="J4" s="95">
        <v>2325</v>
      </c>
      <c r="K4" s="95">
        <f t="shared" si="5"/>
        <v>1534.5</v>
      </c>
      <c r="L4" s="95">
        <f t="shared" si="6"/>
        <v>1613.5</v>
      </c>
      <c r="M4" s="97">
        <f t="shared" si="7"/>
        <v>2097.5</v>
      </c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</row>
    <row r="5" spans="1:59" ht="15.75" customHeight="1">
      <c r="A5" s="100" t="s">
        <v>575</v>
      </c>
      <c r="B5" s="95">
        <v>1137</v>
      </c>
      <c r="C5" s="95">
        <v>1702</v>
      </c>
      <c r="D5" s="95">
        <v>1.1499999999999999</v>
      </c>
      <c r="E5" s="95">
        <v>1439</v>
      </c>
      <c r="F5" s="95">
        <v>1788</v>
      </c>
      <c r="G5" s="97">
        <f t="shared" si="4"/>
        <v>3487.95</v>
      </c>
      <c r="H5" s="99" t="s">
        <v>571</v>
      </c>
      <c r="I5" s="95">
        <v>1870</v>
      </c>
      <c r="J5" s="95">
        <v>2325</v>
      </c>
      <c r="K5" s="95">
        <f t="shared" si="5"/>
        <v>1419.5</v>
      </c>
      <c r="L5" s="95">
        <f t="shared" si="6"/>
        <v>1613.5</v>
      </c>
      <c r="M5" s="97">
        <f t="shared" si="7"/>
        <v>2097.5</v>
      </c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</row>
    <row r="6" spans="1:59" ht="15.75" customHeight="1">
      <c r="A6" s="100" t="s">
        <v>576</v>
      </c>
      <c r="B6" s="95">
        <v>192</v>
      </c>
      <c r="C6" s="95">
        <v>355</v>
      </c>
      <c r="D6" s="95">
        <v>1.4</v>
      </c>
      <c r="E6" s="95">
        <v>1199</v>
      </c>
      <c r="F6" s="95">
        <v>1490</v>
      </c>
      <c r="G6" s="97">
        <f t="shared" si="4"/>
        <v>2265.1999999999998</v>
      </c>
      <c r="H6" s="97">
        <v>2265.1999999999998</v>
      </c>
      <c r="I6" s="95">
        <v>1560</v>
      </c>
      <c r="J6" s="95">
        <v>1940</v>
      </c>
      <c r="K6" s="95">
        <f t="shared" si="5"/>
        <v>273.5</v>
      </c>
      <c r="L6" s="95">
        <f t="shared" si="6"/>
        <v>1344.5</v>
      </c>
      <c r="M6" s="97">
        <f t="shared" si="7"/>
        <v>1750</v>
      </c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</row>
    <row r="7" spans="1:59" ht="15.75" customHeight="1">
      <c r="A7" s="100" t="s">
        <v>577</v>
      </c>
      <c r="B7" s="95">
        <v>1351</v>
      </c>
      <c r="C7" s="95">
        <v>1486</v>
      </c>
      <c r="D7" s="95">
        <v>1.1499999999999999</v>
      </c>
      <c r="E7" s="95">
        <v>1439</v>
      </c>
      <c r="F7" s="95">
        <v>1788</v>
      </c>
      <c r="G7" s="97">
        <f t="shared" si="4"/>
        <v>3486.7999999999997</v>
      </c>
      <c r="H7" s="99" t="s">
        <v>571</v>
      </c>
      <c r="I7" s="95">
        <v>1870</v>
      </c>
      <c r="J7" s="95">
        <v>2325</v>
      </c>
      <c r="K7" s="95">
        <f t="shared" si="5"/>
        <v>1418.5</v>
      </c>
      <c r="L7" s="95">
        <f t="shared" si="6"/>
        <v>1613.5</v>
      </c>
      <c r="M7" s="97">
        <f t="shared" si="7"/>
        <v>2097.5</v>
      </c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</row>
    <row r="8" spans="1:59" ht="15.75" customHeight="1">
      <c r="A8" s="100" t="s">
        <v>578</v>
      </c>
      <c r="B8" s="95">
        <v>249</v>
      </c>
      <c r="C8" s="95">
        <v>461</v>
      </c>
      <c r="D8" s="95">
        <v>1.3</v>
      </c>
      <c r="E8" s="95">
        <v>1199</v>
      </c>
      <c r="F8" s="95">
        <v>1490</v>
      </c>
      <c r="G8" s="97">
        <f t="shared" si="4"/>
        <v>2209.35</v>
      </c>
      <c r="H8" s="97">
        <v>2209.4</v>
      </c>
      <c r="I8" s="95">
        <v>1560</v>
      </c>
      <c r="J8" s="95">
        <v>1940</v>
      </c>
      <c r="K8" s="95">
        <f t="shared" si="5"/>
        <v>355</v>
      </c>
      <c r="L8" s="95">
        <f t="shared" si="6"/>
        <v>1344.5</v>
      </c>
      <c r="M8" s="97">
        <f t="shared" si="7"/>
        <v>1750</v>
      </c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</row>
    <row r="9" spans="1:59" ht="15.75" customHeight="1">
      <c r="A9" s="100" t="s">
        <v>579</v>
      </c>
      <c r="B9" s="95">
        <v>168</v>
      </c>
      <c r="C9" s="95">
        <v>392</v>
      </c>
      <c r="D9" s="95">
        <v>1.4</v>
      </c>
      <c r="E9" s="95">
        <v>1199</v>
      </c>
      <c r="F9" s="95">
        <v>1490</v>
      </c>
      <c r="G9" s="97">
        <f t="shared" si="4"/>
        <v>2274.2999999999997</v>
      </c>
      <c r="H9" s="97">
        <v>2274.3000000000002</v>
      </c>
      <c r="I9" s="95">
        <v>1560</v>
      </c>
      <c r="J9" s="95">
        <v>1940</v>
      </c>
      <c r="K9" s="95">
        <f t="shared" si="5"/>
        <v>280</v>
      </c>
      <c r="L9" s="95">
        <f t="shared" si="6"/>
        <v>1344.5</v>
      </c>
      <c r="M9" s="97">
        <f t="shared" si="7"/>
        <v>1750</v>
      </c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</row>
    <row r="10" spans="1:59" ht="15.75" customHeight="1">
      <c r="A10" s="100" t="s">
        <v>580</v>
      </c>
      <c r="B10" s="95">
        <v>107</v>
      </c>
      <c r="C10" s="95">
        <v>321</v>
      </c>
      <c r="D10" s="95">
        <v>1.5</v>
      </c>
      <c r="E10" s="95">
        <v>1199</v>
      </c>
      <c r="F10" s="95">
        <v>1490</v>
      </c>
      <c r="G10" s="97">
        <f t="shared" si="4"/>
        <v>2337.75</v>
      </c>
      <c r="H10" s="99" t="s">
        <v>571</v>
      </c>
      <c r="I10" s="95">
        <v>1365</v>
      </c>
      <c r="J10" s="95">
        <v>1700</v>
      </c>
      <c r="K10" s="95">
        <f t="shared" si="5"/>
        <v>214</v>
      </c>
      <c r="L10" s="95">
        <f t="shared" si="6"/>
        <v>1344.5</v>
      </c>
      <c r="M10" s="97">
        <f t="shared" si="7"/>
        <v>1532.5</v>
      </c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</row>
    <row r="11" spans="1:59" ht="15.75" customHeight="1">
      <c r="A11" s="100" t="s">
        <v>581</v>
      </c>
      <c r="B11" s="95">
        <v>353</v>
      </c>
      <c r="C11" s="95">
        <v>526</v>
      </c>
      <c r="D11" s="95">
        <v>1.2</v>
      </c>
      <c r="E11" s="95">
        <v>1199</v>
      </c>
      <c r="F11" s="95">
        <v>1490</v>
      </c>
      <c r="G11" s="97">
        <f t="shared" si="4"/>
        <v>2140.7999999999997</v>
      </c>
      <c r="H11" s="97">
        <v>2140.8000000000002</v>
      </c>
      <c r="I11" s="95">
        <v>1560</v>
      </c>
      <c r="J11" s="95">
        <v>1940</v>
      </c>
      <c r="K11" s="95">
        <f t="shared" si="5"/>
        <v>439.5</v>
      </c>
      <c r="L11" s="95">
        <f t="shared" si="6"/>
        <v>1344.5</v>
      </c>
      <c r="M11" s="97">
        <f t="shared" si="7"/>
        <v>1750</v>
      </c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</row>
    <row r="12" spans="1:59" ht="15.75" customHeight="1">
      <c r="A12" s="100" t="s">
        <v>582</v>
      </c>
      <c r="B12" s="95">
        <v>1497</v>
      </c>
      <c r="C12" s="95">
        <v>1823</v>
      </c>
      <c r="D12" s="95">
        <v>1.05</v>
      </c>
      <c r="E12" s="95">
        <v>1439</v>
      </c>
      <c r="F12" s="95">
        <v>1788</v>
      </c>
      <c r="G12" s="97">
        <f t="shared" si="4"/>
        <v>3437.1750000000002</v>
      </c>
      <c r="H12" s="99" t="s">
        <v>571</v>
      </c>
      <c r="I12" s="95">
        <v>1870</v>
      </c>
      <c r="J12" s="95">
        <v>2325</v>
      </c>
      <c r="K12" s="95">
        <f t="shared" si="5"/>
        <v>1660</v>
      </c>
      <c r="L12" s="95">
        <f t="shared" si="6"/>
        <v>1613.5</v>
      </c>
      <c r="M12" s="97">
        <f t="shared" si="7"/>
        <v>2097.5</v>
      </c>
    </row>
    <row r="13" spans="1:59" ht="15.75" customHeight="1">
      <c r="A13" s="95"/>
      <c r="B13" s="95"/>
      <c r="C13" s="95"/>
      <c r="D13" s="95"/>
      <c r="E13" s="95"/>
      <c r="F13" s="95"/>
      <c r="G13" s="97"/>
      <c r="H13" s="95"/>
      <c r="I13" s="95"/>
      <c r="J13" s="95"/>
      <c r="K13" s="95"/>
      <c r="L13" s="95"/>
      <c r="M13" s="97"/>
    </row>
    <row r="14" spans="1:59" ht="15.75" customHeight="1">
      <c r="B14" s="95"/>
    </row>
    <row r="20" spans="1:1" ht="15.75" customHeight="1">
      <c r="A20" s="95"/>
    </row>
    <row r="21" spans="1:1" ht="15.75" customHeight="1">
      <c r="A21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29</vt:i4>
      </vt:variant>
    </vt:vector>
  </HeadingPairs>
  <TitlesOfParts>
    <vt:vector size="35" baseType="lpstr">
      <vt:lpstr>Statistiques</vt:lpstr>
      <vt:lpstr>reroll arme</vt:lpstr>
      <vt:lpstr>cdr et rcr</vt:lpstr>
      <vt:lpstr>eDPS sorts</vt:lpstr>
      <vt:lpstr>infos sorts</vt:lpstr>
      <vt:lpstr>Data</vt:lpstr>
      <vt:lpstr>additiff</vt:lpstr>
      <vt:lpstr>APS</vt:lpstr>
      <vt:lpstr>armes</vt:lpstr>
      <vt:lpstr>bBuffdrakon</vt:lpstr>
      <vt:lpstr>bBuffphalange</vt:lpstr>
      <vt:lpstr>bBuffreniement</vt:lpstr>
      <vt:lpstr>bBuffroland</vt:lpstr>
      <vt:lpstr>bonusblame</vt:lpstr>
      <vt:lpstr>bonusbouclierdivin</vt:lpstr>
      <vt:lpstr>bonuscoupbouclier</vt:lpstr>
      <vt:lpstr>bonuscouperet</vt:lpstr>
      <vt:lpstr>bonusfureurdescieux</vt:lpstr>
      <vt:lpstr>bonusfustigation</vt:lpstr>
      <vt:lpstr>bonusgrele</vt:lpstr>
      <vt:lpstr>bonusphalange</vt:lpstr>
      <vt:lpstr>bonuspoingdescieux</vt:lpstr>
      <vt:lpstr>boun</vt:lpstr>
      <vt:lpstr>Buffdrakon</vt:lpstr>
      <vt:lpstr>buffmarteau</vt:lpstr>
      <vt:lpstr>Buffreniement</vt:lpstr>
      <vt:lpstr>Buffroland</vt:lpstr>
      <vt:lpstr>critique</vt:lpstr>
      <vt:lpstr>feu</vt:lpstr>
      <vt:lpstr>foudre</vt:lpstr>
      <vt:lpstr>multiplicatif</vt:lpstr>
      <vt:lpstr>NamedRange1</vt:lpstr>
      <vt:lpstr>physique</vt:lpstr>
      <vt:lpstr>sacré</vt:lpstr>
      <vt:lpstr>zone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Ramsamy</dc:creator>
  <cp:lastModifiedBy>Amaury Ramsamy</cp:lastModifiedBy>
  <dcterms:created xsi:type="dcterms:W3CDTF">2015-03-31T10:30:57Z</dcterms:created>
  <dcterms:modified xsi:type="dcterms:W3CDTF">2015-06-03T05:59:41Z</dcterms:modified>
</cp:coreProperties>
</file>